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jc\Documents\Treasurer\Monthly statements\"/>
    </mc:Choice>
  </mc:AlternateContent>
  <xr:revisionPtr revIDLastSave="0" documentId="13_ncr:1_{645D9818-89E0-47F2-BB73-EA26530FA3D7}" xr6:coauthVersionLast="47" xr6:coauthVersionMax="47" xr10:uidLastSave="{00000000-0000-0000-0000-000000000000}"/>
  <bookViews>
    <workbookView xWindow="28680" yWindow="-120" windowWidth="29040" windowHeight="15720" tabRatio="822" xr2:uid="{00000000-000D-0000-FFFF-FFFF00000000}"/>
  </bookViews>
  <sheets>
    <sheet name="FY 2023-2024" sheetId="12" r:id="rId1"/>
    <sheet name="HVUUC 2022-2023" sheetId="9" r:id="rId2"/>
    <sheet name="HVUUC 2021 -2022" sheetId="7" r:id="rId3"/>
  </sheets>
  <calcPr calcId="191029"/>
  <fileRecoveryPr repairLoad="1"/>
</workbook>
</file>

<file path=xl/calcChain.xml><?xml version="1.0" encoding="utf-8"?>
<calcChain xmlns="http://schemas.openxmlformats.org/spreadsheetml/2006/main">
  <c r="N134" i="12" l="1"/>
  <c r="O134" i="12" s="1"/>
  <c r="M134" i="12"/>
  <c r="L134" i="12"/>
  <c r="K134" i="12"/>
  <c r="J134" i="12"/>
  <c r="I134" i="12"/>
  <c r="D134" i="12"/>
  <c r="G134" i="12" s="1"/>
  <c r="H134" i="12" s="1"/>
  <c r="F6" i="12" l="1"/>
  <c r="O162" i="12" l="1"/>
  <c r="N162" i="12"/>
  <c r="M162" i="12"/>
  <c r="L162" i="12"/>
  <c r="K162" i="12"/>
  <c r="J162" i="12"/>
  <c r="I162" i="12"/>
  <c r="O159" i="12"/>
  <c r="N159" i="12"/>
  <c r="M159" i="12"/>
  <c r="L159" i="12"/>
  <c r="K159" i="12"/>
  <c r="J159" i="12"/>
  <c r="I159" i="12"/>
  <c r="O156" i="12"/>
  <c r="N156" i="12"/>
  <c r="M156" i="12"/>
  <c r="L156" i="12"/>
  <c r="K156" i="12"/>
  <c r="J156" i="12"/>
  <c r="I156" i="12"/>
  <c r="O153" i="12"/>
  <c r="N153" i="12"/>
  <c r="M153" i="12"/>
  <c r="L153" i="12"/>
  <c r="K153" i="12"/>
  <c r="J153" i="12"/>
  <c r="I153" i="12"/>
  <c r="O150" i="12"/>
  <c r="N150" i="12"/>
  <c r="M150" i="12"/>
  <c r="L150" i="12"/>
  <c r="K150" i="12"/>
  <c r="J150" i="12"/>
  <c r="I150" i="12"/>
  <c r="O147" i="12"/>
  <c r="N147" i="12"/>
  <c r="M147" i="12"/>
  <c r="L147" i="12"/>
  <c r="K147" i="12"/>
  <c r="J147" i="12"/>
  <c r="I147" i="12"/>
  <c r="O144" i="12"/>
  <c r="N144" i="12"/>
  <c r="M144" i="12"/>
  <c r="L144" i="12"/>
  <c r="K144" i="12"/>
  <c r="J144" i="12"/>
  <c r="I144" i="12"/>
  <c r="O141" i="12"/>
  <c r="N141" i="12"/>
  <c r="M141" i="12"/>
  <c r="L141" i="12"/>
  <c r="K141" i="12"/>
  <c r="J141" i="12"/>
  <c r="I141" i="12"/>
  <c r="N131" i="12"/>
  <c r="M131" i="12"/>
  <c r="L131" i="12"/>
  <c r="K131" i="12"/>
  <c r="J131" i="12"/>
  <c r="I131" i="12"/>
  <c r="N128" i="12"/>
  <c r="M128" i="12"/>
  <c r="L128" i="12"/>
  <c r="K128" i="12"/>
  <c r="J128" i="12"/>
  <c r="I128" i="12"/>
  <c r="N125" i="12"/>
  <c r="M125" i="12"/>
  <c r="L125" i="12"/>
  <c r="K125" i="12"/>
  <c r="J125" i="12"/>
  <c r="I125" i="12"/>
  <c r="N122" i="12"/>
  <c r="M122" i="12"/>
  <c r="L122" i="12"/>
  <c r="K122" i="12"/>
  <c r="J122" i="12"/>
  <c r="I122" i="12"/>
  <c r="N119" i="12"/>
  <c r="M119" i="12"/>
  <c r="L119" i="12"/>
  <c r="K119" i="12"/>
  <c r="J119" i="12"/>
  <c r="I119" i="12"/>
  <c r="N116" i="12"/>
  <c r="M116" i="12"/>
  <c r="L116" i="12"/>
  <c r="K116" i="12"/>
  <c r="J116" i="12"/>
  <c r="I116" i="12"/>
  <c r="N113" i="12"/>
  <c r="M113" i="12"/>
  <c r="L113" i="12"/>
  <c r="K113" i="12"/>
  <c r="J113" i="12"/>
  <c r="I113" i="12"/>
  <c r="N110" i="12"/>
  <c r="M110" i="12"/>
  <c r="L110" i="12"/>
  <c r="K110" i="12"/>
  <c r="J110" i="12"/>
  <c r="I110" i="12"/>
  <c r="N107" i="12"/>
  <c r="M107" i="12"/>
  <c r="L107" i="12"/>
  <c r="K107" i="12"/>
  <c r="J107" i="12"/>
  <c r="I107" i="12"/>
  <c r="N104" i="12"/>
  <c r="M104" i="12"/>
  <c r="L104" i="12"/>
  <c r="K104" i="12"/>
  <c r="J104" i="12"/>
  <c r="I104" i="12"/>
  <c r="K165" i="12" l="1"/>
  <c r="K77" i="12" s="1"/>
  <c r="L165" i="12"/>
  <c r="L77" i="12" s="1"/>
  <c r="N165" i="12"/>
  <c r="J165" i="12"/>
  <c r="J77" i="12" s="1"/>
  <c r="M165" i="12"/>
  <c r="M77" i="12" s="1"/>
  <c r="I165" i="12"/>
  <c r="I77" i="12" s="1"/>
  <c r="I137" i="12"/>
  <c r="I78" i="12" s="1"/>
  <c r="K137" i="12"/>
  <c r="K78" i="12" s="1"/>
  <c r="L137" i="12"/>
  <c r="L78" i="12" s="1"/>
  <c r="M137" i="12"/>
  <c r="M78" i="12" s="1"/>
  <c r="N137" i="12"/>
  <c r="J137" i="12"/>
  <c r="J78" i="12" s="1"/>
  <c r="O165" i="12"/>
  <c r="C165" i="12"/>
  <c r="C77" i="12" s="1"/>
  <c r="D162" i="12"/>
  <c r="E162" i="12" s="1"/>
  <c r="F162" i="12" s="1"/>
  <c r="G162" i="12" s="1"/>
  <c r="H162" i="12" s="1"/>
  <c r="D159" i="12"/>
  <c r="E159" i="12" s="1"/>
  <c r="F159" i="12" s="1"/>
  <c r="G159" i="12" s="1"/>
  <c r="H159" i="12" s="1"/>
  <c r="D156" i="12"/>
  <c r="E156" i="12" s="1"/>
  <c r="F156" i="12" s="1"/>
  <c r="G156" i="12" s="1"/>
  <c r="H156" i="12" s="1"/>
  <c r="D153" i="12"/>
  <c r="E153" i="12" s="1"/>
  <c r="F153" i="12" s="1"/>
  <c r="G153" i="12" s="1"/>
  <c r="H153" i="12" s="1"/>
  <c r="D150" i="12"/>
  <c r="E150" i="12" s="1"/>
  <c r="F150" i="12" s="1"/>
  <c r="G150" i="12" s="1"/>
  <c r="H150" i="12" s="1"/>
  <c r="D147" i="12"/>
  <c r="E147" i="12" s="1"/>
  <c r="F147" i="12" s="1"/>
  <c r="G147" i="12" s="1"/>
  <c r="H147" i="12" s="1"/>
  <c r="D144" i="12"/>
  <c r="E144" i="12" s="1"/>
  <c r="F144" i="12" s="1"/>
  <c r="G144" i="12" s="1"/>
  <c r="H144" i="12" s="1"/>
  <c r="D141" i="12"/>
  <c r="O131" i="12"/>
  <c r="D131" i="12"/>
  <c r="E131" i="12" s="1"/>
  <c r="F131" i="12" s="1"/>
  <c r="G131" i="12" s="1"/>
  <c r="H131" i="12" s="1"/>
  <c r="O128" i="12"/>
  <c r="D128" i="12"/>
  <c r="E128" i="12" s="1"/>
  <c r="F128" i="12" s="1"/>
  <c r="G128" i="12" s="1"/>
  <c r="H128" i="12" s="1"/>
  <c r="O125" i="12"/>
  <c r="D125" i="12"/>
  <c r="E125" i="12" s="1"/>
  <c r="F125" i="12" s="1"/>
  <c r="G125" i="12" s="1"/>
  <c r="H125" i="12" s="1"/>
  <c r="O122" i="12"/>
  <c r="D122" i="12"/>
  <c r="E122" i="12" s="1"/>
  <c r="F122" i="12" s="1"/>
  <c r="G122" i="12" s="1"/>
  <c r="H122" i="12" s="1"/>
  <c r="O119" i="12"/>
  <c r="D119" i="12"/>
  <c r="E119" i="12" s="1"/>
  <c r="F119" i="12" s="1"/>
  <c r="G119" i="12" s="1"/>
  <c r="H119" i="12" s="1"/>
  <c r="O116" i="12"/>
  <c r="D116" i="12"/>
  <c r="E116" i="12" s="1"/>
  <c r="F116" i="12" s="1"/>
  <c r="G116" i="12" s="1"/>
  <c r="H116" i="12" s="1"/>
  <c r="O113" i="12"/>
  <c r="D113" i="12"/>
  <c r="E113" i="12" s="1"/>
  <c r="F113" i="12" s="1"/>
  <c r="G113" i="12" s="1"/>
  <c r="H113" i="12" s="1"/>
  <c r="O110" i="12"/>
  <c r="D110" i="12"/>
  <c r="E110" i="12" s="1"/>
  <c r="F110" i="12" s="1"/>
  <c r="G110" i="12" s="1"/>
  <c r="H110" i="12" s="1"/>
  <c r="O107" i="12"/>
  <c r="D107" i="12"/>
  <c r="E107" i="12" s="1"/>
  <c r="F107" i="12" s="1"/>
  <c r="G107" i="12" s="1"/>
  <c r="H107" i="12" s="1"/>
  <c r="O104" i="12"/>
  <c r="D104" i="12"/>
  <c r="C101" i="12"/>
  <c r="C76" i="12" s="1"/>
  <c r="O98" i="12"/>
  <c r="N98" i="12"/>
  <c r="M98" i="12"/>
  <c r="L98" i="12"/>
  <c r="K98" i="12"/>
  <c r="J98" i="12"/>
  <c r="I98" i="12"/>
  <c r="D98" i="12"/>
  <c r="E98" i="12" s="1"/>
  <c r="F98" i="12" s="1"/>
  <c r="G98" i="12" s="1"/>
  <c r="H98" i="12" s="1"/>
  <c r="O95" i="12"/>
  <c r="N95" i="12"/>
  <c r="M95" i="12"/>
  <c r="L95" i="12"/>
  <c r="K95" i="12"/>
  <c r="J95" i="12"/>
  <c r="I95" i="12"/>
  <c r="D95" i="12"/>
  <c r="E95" i="12" s="1"/>
  <c r="F95" i="12" s="1"/>
  <c r="G95" i="12" s="1"/>
  <c r="H95" i="12" s="1"/>
  <c r="O92" i="12"/>
  <c r="N92" i="12"/>
  <c r="M92" i="12"/>
  <c r="L92" i="12"/>
  <c r="K92" i="12"/>
  <c r="J92" i="12"/>
  <c r="I92" i="12"/>
  <c r="D92" i="12"/>
  <c r="E92" i="12" s="1"/>
  <c r="F92" i="12" s="1"/>
  <c r="G92" i="12" s="1"/>
  <c r="H92" i="12" s="1"/>
  <c r="O89" i="12"/>
  <c r="N89" i="12"/>
  <c r="M89" i="12"/>
  <c r="L89" i="12"/>
  <c r="K89" i="12"/>
  <c r="J89" i="12"/>
  <c r="I89" i="12"/>
  <c r="D89" i="12"/>
  <c r="E89" i="12" s="1"/>
  <c r="F89" i="12" s="1"/>
  <c r="G89" i="12" s="1"/>
  <c r="H89" i="12" s="1"/>
  <c r="O86" i="12"/>
  <c r="N86" i="12"/>
  <c r="M86" i="12"/>
  <c r="L86" i="12"/>
  <c r="K86" i="12"/>
  <c r="J86" i="12"/>
  <c r="I86" i="12"/>
  <c r="D86" i="12"/>
  <c r="E86" i="12" s="1"/>
  <c r="C78" i="12"/>
  <c r="O71" i="12"/>
  <c r="O75" i="12" s="1"/>
  <c r="N71" i="12"/>
  <c r="N75" i="12" s="1"/>
  <c r="M71" i="12"/>
  <c r="M75" i="12" s="1"/>
  <c r="L71" i="12"/>
  <c r="L75" i="12" s="1"/>
  <c r="K71" i="12"/>
  <c r="K75" i="12" s="1"/>
  <c r="J71" i="12"/>
  <c r="J75" i="12" s="1"/>
  <c r="I71" i="12"/>
  <c r="I75" i="12" s="1"/>
  <c r="H71" i="12"/>
  <c r="H75" i="12" s="1"/>
  <c r="G71" i="12"/>
  <c r="G75" i="12" s="1"/>
  <c r="F71" i="12"/>
  <c r="F75" i="12" s="1"/>
  <c r="E71" i="12"/>
  <c r="E75" i="12" s="1"/>
  <c r="D71" i="12"/>
  <c r="D75" i="12" s="1"/>
  <c r="C71" i="12"/>
  <c r="C75" i="12" s="1"/>
  <c r="O60" i="12"/>
  <c r="O59" i="12"/>
  <c r="O58" i="12"/>
  <c r="O57" i="12"/>
  <c r="P56" i="12"/>
  <c r="P62" i="12" s="1"/>
  <c r="N56" i="12"/>
  <c r="N62" i="12" s="1"/>
  <c r="M56" i="12"/>
  <c r="M62" i="12" s="1"/>
  <c r="L56" i="12"/>
  <c r="L62" i="12" s="1"/>
  <c r="K56" i="12"/>
  <c r="K62" i="12" s="1"/>
  <c r="J56" i="12"/>
  <c r="J62" i="12" s="1"/>
  <c r="I56" i="12"/>
  <c r="I62" i="12" s="1"/>
  <c r="H56" i="12"/>
  <c r="H62" i="12" s="1"/>
  <c r="G56" i="12"/>
  <c r="G62" i="12" s="1"/>
  <c r="F56" i="12"/>
  <c r="F62" i="12" s="1"/>
  <c r="E56" i="12"/>
  <c r="E62" i="12" s="1"/>
  <c r="D56" i="12"/>
  <c r="D62" i="12" s="1"/>
  <c r="C56" i="12"/>
  <c r="C62" i="12" s="1"/>
  <c r="O54" i="12"/>
  <c r="Q54" i="12" s="1"/>
  <c r="O53" i="12"/>
  <c r="Q53" i="12" s="1"/>
  <c r="O52" i="12"/>
  <c r="Q52" i="12" s="1"/>
  <c r="O51" i="12"/>
  <c r="Q51" i="12" s="1"/>
  <c r="O50" i="12"/>
  <c r="Q50" i="12" s="1"/>
  <c r="O49" i="12"/>
  <c r="Q49" i="12" s="1"/>
  <c r="O48" i="12"/>
  <c r="Q48" i="12" s="1"/>
  <c r="O42" i="12"/>
  <c r="Q42" i="12" s="1"/>
  <c r="O41" i="12"/>
  <c r="Q41" i="12" s="1"/>
  <c r="O40" i="12"/>
  <c r="Q40" i="12" s="1"/>
  <c r="O39" i="12"/>
  <c r="Q39" i="12" s="1"/>
  <c r="O36" i="12"/>
  <c r="Q36" i="12" s="1"/>
  <c r="O35" i="12"/>
  <c r="Q35" i="12" s="1"/>
  <c r="O34" i="12"/>
  <c r="Q34" i="12" s="1"/>
  <c r="O33" i="12"/>
  <c r="Q33" i="12" s="1"/>
  <c r="O30" i="12"/>
  <c r="Q30" i="12" s="1"/>
  <c r="O29" i="12"/>
  <c r="Q29" i="12" s="1"/>
  <c r="O28" i="12"/>
  <c r="Q28" i="12" s="1"/>
  <c r="O27" i="12"/>
  <c r="Q27" i="12" s="1"/>
  <c r="O24" i="12"/>
  <c r="Q24" i="12" s="1"/>
  <c r="O23" i="12"/>
  <c r="Q23" i="12" s="1"/>
  <c r="O22" i="12"/>
  <c r="Q22" i="12" s="1"/>
  <c r="O21" i="12"/>
  <c r="Q21" i="12" s="1"/>
  <c r="O20" i="12"/>
  <c r="Q20" i="12" s="1"/>
  <c r="O19" i="12"/>
  <c r="Q19" i="12" s="1"/>
  <c r="O18" i="12"/>
  <c r="Q18" i="12" s="1"/>
  <c r="O17" i="12"/>
  <c r="Q17" i="12" s="1"/>
  <c r="P11" i="12"/>
  <c r="N11" i="12"/>
  <c r="M11" i="12"/>
  <c r="L11" i="12"/>
  <c r="K11" i="12"/>
  <c r="J11" i="12"/>
  <c r="I11" i="12"/>
  <c r="H11" i="12"/>
  <c r="G11" i="12"/>
  <c r="F11" i="12"/>
  <c r="E11" i="12"/>
  <c r="D11" i="12"/>
  <c r="O10" i="12"/>
  <c r="Q10" i="12" s="1"/>
  <c r="O9" i="12"/>
  <c r="Q9" i="12" s="1"/>
  <c r="O8" i="12"/>
  <c r="Q8" i="12" s="1"/>
  <c r="O7" i="12"/>
  <c r="Q7" i="12" s="1"/>
  <c r="C6" i="12"/>
  <c r="O6" i="12" s="1"/>
  <c r="Q6" i="12" s="1"/>
  <c r="C5" i="12"/>
  <c r="O5" i="12" s="1"/>
  <c r="I63" i="12" l="1"/>
  <c r="H63" i="12"/>
  <c r="E101" i="12"/>
  <c r="E76" i="12" s="1"/>
  <c r="D165" i="12"/>
  <c r="D77" i="12" s="1"/>
  <c r="E141" i="12"/>
  <c r="D101" i="12"/>
  <c r="D76" i="12" s="1"/>
  <c r="D137" i="12"/>
  <c r="D78" i="12" s="1"/>
  <c r="E104" i="12"/>
  <c r="N63" i="12"/>
  <c r="J63" i="12"/>
  <c r="C80" i="12"/>
  <c r="K63" i="12"/>
  <c r="G63" i="12"/>
  <c r="F63" i="12"/>
  <c r="K101" i="12"/>
  <c r="K76" i="12" s="1"/>
  <c r="K80" i="12" s="1"/>
  <c r="L101" i="12"/>
  <c r="L76" i="12" s="1"/>
  <c r="L80" i="12" s="1"/>
  <c r="M101" i="12"/>
  <c r="M76" i="12" s="1"/>
  <c r="M80" i="12" s="1"/>
  <c r="J101" i="12"/>
  <c r="J76" i="12" s="1"/>
  <c r="J80" i="12" s="1"/>
  <c r="F86" i="12"/>
  <c r="I101" i="12"/>
  <c r="I76" i="12" s="1"/>
  <c r="I80" i="12" s="1"/>
  <c r="N101" i="12"/>
  <c r="N76" i="12" s="1"/>
  <c r="N80" i="12" s="1"/>
  <c r="O101" i="12"/>
  <c r="O76" i="12" s="1"/>
  <c r="O80" i="12" s="1"/>
  <c r="O137" i="12"/>
  <c r="O78" i="12" s="1"/>
  <c r="N78" i="12"/>
  <c r="Q56" i="12"/>
  <c r="O77" i="12"/>
  <c r="N77" i="12"/>
  <c r="O11" i="12"/>
  <c r="Q5" i="12"/>
  <c r="D63" i="12"/>
  <c r="L63" i="12"/>
  <c r="E63" i="12"/>
  <c r="M63" i="12"/>
  <c r="C11" i="12"/>
  <c r="C63" i="12" s="1"/>
  <c r="O56" i="12"/>
  <c r="O62" i="12" s="1"/>
  <c r="Q62" i="12" s="1"/>
  <c r="D80" i="12" l="1"/>
  <c r="E137" i="12"/>
  <c r="E78" i="12" s="1"/>
  <c r="F104" i="12"/>
  <c r="F101" i="12"/>
  <c r="F76" i="12" s="1"/>
  <c r="G86" i="12"/>
  <c r="E165" i="12"/>
  <c r="E77" i="12" s="1"/>
  <c r="F141" i="12"/>
  <c r="O63" i="12"/>
  <c r="Q11" i="12"/>
  <c r="E80" i="12" l="1"/>
  <c r="G141" i="12"/>
  <c r="F165" i="12"/>
  <c r="F77" i="12" s="1"/>
  <c r="G104" i="12"/>
  <c r="F137" i="12"/>
  <c r="F78" i="12" s="1"/>
  <c r="H86" i="12"/>
  <c r="H101" i="12" s="1"/>
  <c r="H76" i="12" s="1"/>
  <c r="G101" i="12"/>
  <c r="G76" i="12" s="1"/>
  <c r="R12" i="9"/>
  <c r="F80" i="12" l="1"/>
  <c r="H104" i="12"/>
  <c r="H137" i="12" s="1"/>
  <c r="H78" i="12" s="1"/>
  <c r="G137" i="12"/>
  <c r="G78" i="12" s="1"/>
  <c r="H141" i="12"/>
  <c r="H165" i="12" s="1"/>
  <c r="H77" i="12" s="1"/>
  <c r="H80" i="12" s="1"/>
  <c r="G165" i="12"/>
  <c r="G77" i="12" s="1"/>
  <c r="O125" i="9"/>
  <c r="N7" i="9"/>
  <c r="G80" i="12" l="1"/>
  <c r="M6" i="9"/>
  <c r="M5" i="9" l="1"/>
  <c r="M7" i="9" l="1"/>
  <c r="M90" i="9" l="1"/>
  <c r="L11" i="9"/>
  <c r="O5" i="9" l="1"/>
  <c r="C5" i="9"/>
  <c r="R12" i="7" l="1"/>
  <c r="S5" i="7" l="1"/>
  <c r="K7" i="9" l="1"/>
  <c r="J7" i="9" l="1"/>
  <c r="P104" i="7" l="1"/>
  <c r="P101" i="7"/>
  <c r="P98" i="7"/>
  <c r="P95" i="7"/>
  <c r="P92" i="7"/>
  <c r="O159" i="9" l="1"/>
  <c r="O131" i="9" l="1"/>
  <c r="C27" i="9"/>
  <c r="D159" i="9"/>
  <c r="E159" i="9" s="1"/>
  <c r="F159" i="9" s="1"/>
  <c r="G159" i="9" s="1"/>
  <c r="H159" i="9" s="1"/>
  <c r="I159" i="9" s="1"/>
  <c r="J159" i="9" s="1"/>
  <c r="K159" i="9" s="1"/>
  <c r="L159" i="9" s="1"/>
  <c r="M159" i="9" s="1"/>
  <c r="N159" i="9" s="1"/>
  <c r="D156" i="9"/>
  <c r="D153" i="9"/>
  <c r="D150" i="9"/>
  <c r="D147" i="9"/>
  <c r="D144" i="9"/>
  <c r="D141" i="9"/>
  <c r="D138" i="9"/>
  <c r="D128" i="9"/>
  <c r="D125" i="9"/>
  <c r="D122" i="9"/>
  <c r="D119" i="9"/>
  <c r="D116" i="9"/>
  <c r="D113" i="9"/>
  <c r="D110" i="9"/>
  <c r="D107" i="9"/>
  <c r="D104" i="9"/>
  <c r="D98" i="9"/>
  <c r="D95" i="9"/>
  <c r="D92" i="9"/>
  <c r="D89" i="9"/>
  <c r="D86" i="9"/>
  <c r="D91" i="7"/>
  <c r="C10" i="9"/>
  <c r="C101" i="9"/>
  <c r="P19" i="9"/>
  <c r="D162" i="9" l="1"/>
  <c r="D131" i="9"/>
  <c r="E131" i="9" s="1"/>
  <c r="F131" i="9" s="1"/>
  <c r="G131" i="9" s="1"/>
  <c r="H131" i="9" s="1"/>
  <c r="I131" i="9" s="1"/>
  <c r="J131" i="9" s="1"/>
  <c r="K131" i="9" s="1"/>
  <c r="L131" i="9" s="1"/>
  <c r="M131" i="9" s="1"/>
  <c r="N131" i="9" s="1"/>
  <c r="J10" i="7"/>
  <c r="J5" i="7"/>
  <c r="N7" i="7"/>
  <c r="P56" i="9" l="1"/>
  <c r="P53" i="9"/>
  <c r="P49" i="9"/>
  <c r="P42" i="9"/>
  <c r="P62" i="9" s="1"/>
  <c r="N11" i="9" l="1"/>
  <c r="M11" i="9"/>
  <c r="Q5" i="9"/>
  <c r="C162" i="9"/>
  <c r="C77" i="9" s="1"/>
  <c r="O156" i="9"/>
  <c r="E156" i="9"/>
  <c r="F156" i="9" s="1"/>
  <c r="G156" i="9" s="1"/>
  <c r="H156" i="9" s="1"/>
  <c r="I156" i="9" s="1"/>
  <c r="J156" i="9" s="1"/>
  <c r="K156" i="9" s="1"/>
  <c r="L156" i="9" s="1"/>
  <c r="M156" i="9" s="1"/>
  <c r="N156" i="9" s="1"/>
  <c r="O153" i="9"/>
  <c r="E153" i="9"/>
  <c r="F153" i="9" s="1"/>
  <c r="G153" i="9" s="1"/>
  <c r="H153" i="9" s="1"/>
  <c r="I153" i="9" s="1"/>
  <c r="J153" i="9" s="1"/>
  <c r="K153" i="9" s="1"/>
  <c r="L153" i="9" s="1"/>
  <c r="M153" i="9" s="1"/>
  <c r="N153" i="9" s="1"/>
  <c r="O150" i="9"/>
  <c r="E150" i="9"/>
  <c r="F150" i="9" s="1"/>
  <c r="G150" i="9" s="1"/>
  <c r="H150" i="9" s="1"/>
  <c r="I150" i="9" s="1"/>
  <c r="J150" i="9" s="1"/>
  <c r="K150" i="9" s="1"/>
  <c r="L150" i="9" s="1"/>
  <c r="M150" i="9" s="1"/>
  <c r="N150" i="9" s="1"/>
  <c r="O147" i="9"/>
  <c r="E147" i="9"/>
  <c r="F147" i="9" s="1"/>
  <c r="G147" i="9" s="1"/>
  <c r="H147" i="9" s="1"/>
  <c r="I147" i="9" s="1"/>
  <c r="J147" i="9" s="1"/>
  <c r="K147" i="9" s="1"/>
  <c r="L147" i="9" s="1"/>
  <c r="M147" i="9" s="1"/>
  <c r="N147" i="9" s="1"/>
  <c r="O144" i="9"/>
  <c r="E144" i="9"/>
  <c r="F144" i="9" s="1"/>
  <c r="G144" i="9" s="1"/>
  <c r="H144" i="9" s="1"/>
  <c r="I144" i="9" s="1"/>
  <c r="J144" i="9" s="1"/>
  <c r="K144" i="9" s="1"/>
  <c r="L144" i="9" s="1"/>
  <c r="M144" i="9" s="1"/>
  <c r="N144" i="9" s="1"/>
  <c r="O138" i="9"/>
  <c r="O128" i="9"/>
  <c r="E128" i="9"/>
  <c r="F128" i="9" s="1"/>
  <c r="G128" i="9" s="1"/>
  <c r="H128" i="9" s="1"/>
  <c r="I128" i="9" s="1"/>
  <c r="J128" i="9" s="1"/>
  <c r="K128" i="9" s="1"/>
  <c r="L128" i="9" s="1"/>
  <c r="M128" i="9" s="1"/>
  <c r="N128" i="9" s="1"/>
  <c r="E122" i="9"/>
  <c r="F122" i="9" s="1"/>
  <c r="G122" i="9" s="1"/>
  <c r="H122" i="9" s="1"/>
  <c r="I122" i="9" s="1"/>
  <c r="J122" i="9" s="1"/>
  <c r="K122" i="9" s="1"/>
  <c r="L122" i="9" s="1"/>
  <c r="M122" i="9" s="1"/>
  <c r="N122" i="9" s="1"/>
  <c r="O122" i="9" s="1"/>
  <c r="O119" i="9"/>
  <c r="E119" i="9"/>
  <c r="F119" i="9" s="1"/>
  <c r="G119" i="9" s="1"/>
  <c r="H119" i="9" s="1"/>
  <c r="I119" i="9" s="1"/>
  <c r="J119" i="9" s="1"/>
  <c r="K119" i="9" s="1"/>
  <c r="L119" i="9" s="1"/>
  <c r="M119" i="9" s="1"/>
  <c r="N119" i="9" s="1"/>
  <c r="O116" i="9"/>
  <c r="E116" i="9"/>
  <c r="F116" i="9" s="1"/>
  <c r="G116" i="9" s="1"/>
  <c r="H116" i="9" s="1"/>
  <c r="I116" i="9" s="1"/>
  <c r="J116" i="9" s="1"/>
  <c r="K116" i="9" s="1"/>
  <c r="L116" i="9" s="1"/>
  <c r="M116" i="9" s="1"/>
  <c r="N116" i="9" s="1"/>
  <c r="O113" i="9"/>
  <c r="E113" i="9"/>
  <c r="F113" i="9" s="1"/>
  <c r="G113" i="9" s="1"/>
  <c r="H113" i="9" s="1"/>
  <c r="I113" i="9" s="1"/>
  <c r="J113" i="9" s="1"/>
  <c r="K113" i="9" s="1"/>
  <c r="L113" i="9" s="1"/>
  <c r="M113" i="9" s="1"/>
  <c r="N113" i="9" s="1"/>
  <c r="O110" i="9"/>
  <c r="E110" i="9"/>
  <c r="F110" i="9" s="1"/>
  <c r="G110" i="9" s="1"/>
  <c r="H110" i="9" s="1"/>
  <c r="I110" i="9" s="1"/>
  <c r="J110" i="9" s="1"/>
  <c r="K110" i="9" s="1"/>
  <c r="L110" i="9" s="1"/>
  <c r="M110" i="9" s="1"/>
  <c r="N110" i="9" s="1"/>
  <c r="O107" i="9"/>
  <c r="E107" i="9"/>
  <c r="F107" i="9" s="1"/>
  <c r="G107" i="9" s="1"/>
  <c r="H107" i="9" s="1"/>
  <c r="O104" i="9"/>
  <c r="E104" i="9"/>
  <c r="C76" i="9"/>
  <c r="E98" i="9"/>
  <c r="F98" i="9" s="1"/>
  <c r="G98" i="9" s="1"/>
  <c r="H98" i="9" s="1"/>
  <c r="I98" i="9" s="1"/>
  <c r="J98" i="9" s="1"/>
  <c r="K98" i="9" s="1"/>
  <c r="L98" i="9" s="1"/>
  <c r="M98" i="9" s="1"/>
  <c r="N98" i="9" s="1"/>
  <c r="O98" i="9" s="1"/>
  <c r="O95" i="9"/>
  <c r="E95" i="9"/>
  <c r="F95" i="9" s="1"/>
  <c r="G95" i="9" s="1"/>
  <c r="H95" i="9" s="1"/>
  <c r="I95" i="9" s="1"/>
  <c r="J95" i="9" s="1"/>
  <c r="K95" i="9" s="1"/>
  <c r="L95" i="9" s="1"/>
  <c r="M95" i="9" s="1"/>
  <c r="N95" i="9" s="1"/>
  <c r="O92" i="9"/>
  <c r="E92" i="9"/>
  <c r="F92" i="9" s="1"/>
  <c r="G92" i="9" s="1"/>
  <c r="H92" i="9" s="1"/>
  <c r="I92" i="9" s="1"/>
  <c r="J92" i="9" s="1"/>
  <c r="K92" i="9" s="1"/>
  <c r="L92" i="9" s="1"/>
  <c r="M92" i="9" s="1"/>
  <c r="N92" i="9" s="1"/>
  <c r="O89" i="9"/>
  <c r="O86" i="9"/>
  <c r="O71" i="9"/>
  <c r="O75" i="9" s="1"/>
  <c r="N71" i="9"/>
  <c r="N75" i="9" s="1"/>
  <c r="M71" i="9"/>
  <c r="M75" i="9" s="1"/>
  <c r="L71" i="9"/>
  <c r="L75" i="9" s="1"/>
  <c r="K71" i="9"/>
  <c r="J71" i="9"/>
  <c r="I71" i="9"/>
  <c r="I75" i="9" s="1"/>
  <c r="H71" i="9"/>
  <c r="H75" i="9" s="1"/>
  <c r="G71" i="9"/>
  <c r="G75" i="9" s="1"/>
  <c r="F71" i="9"/>
  <c r="F75" i="9" s="1"/>
  <c r="E71" i="9"/>
  <c r="E75" i="9" s="1"/>
  <c r="D71" i="9"/>
  <c r="D75" i="9" s="1"/>
  <c r="C71" i="9"/>
  <c r="N62" i="9"/>
  <c r="M62" i="9"/>
  <c r="L62" i="9"/>
  <c r="K62" i="9"/>
  <c r="J62" i="9"/>
  <c r="I62" i="9"/>
  <c r="H62" i="9"/>
  <c r="G62" i="9"/>
  <c r="F62" i="9"/>
  <c r="E62" i="9"/>
  <c r="D62" i="9"/>
  <c r="O60" i="9"/>
  <c r="O59" i="9"/>
  <c r="O58" i="9"/>
  <c r="C62" i="9"/>
  <c r="O54" i="9"/>
  <c r="Q54" i="9" s="1"/>
  <c r="O53" i="9"/>
  <c r="Q53" i="9" s="1"/>
  <c r="O52" i="9"/>
  <c r="Q52" i="9" s="1"/>
  <c r="O51" i="9"/>
  <c r="Q51" i="9" s="1"/>
  <c r="O50" i="9"/>
  <c r="Q50" i="9" s="1"/>
  <c r="O49" i="9"/>
  <c r="Q49" i="9" s="1"/>
  <c r="O48" i="9"/>
  <c r="Q48" i="9" s="1"/>
  <c r="O42" i="9"/>
  <c r="Q42" i="9" s="1"/>
  <c r="O41" i="9"/>
  <c r="Q41" i="9" s="1"/>
  <c r="O40" i="9"/>
  <c r="Q40" i="9" s="1"/>
  <c r="O39" i="9"/>
  <c r="Q39" i="9" s="1"/>
  <c r="O36" i="9"/>
  <c r="Q36" i="9" s="1"/>
  <c r="O35" i="9"/>
  <c r="Q35" i="9" s="1"/>
  <c r="O34" i="9"/>
  <c r="Q34" i="9" s="1"/>
  <c r="O33" i="9"/>
  <c r="Q33" i="9" s="1"/>
  <c r="O30" i="9"/>
  <c r="Q30" i="9" s="1"/>
  <c r="O29" i="9"/>
  <c r="Q29" i="9" s="1"/>
  <c r="O28" i="9"/>
  <c r="Q28" i="9" s="1"/>
  <c r="O27" i="9"/>
  <c r="Q27" i="9" s="1"/>
  <c r="O24" i="9"/>
  <c r="Q24" i="9" s="1"/>
  <c r="O23" i="9"/>
  <c r="Q23" i="9" s="1"/>
  <c r="O22" i="9"/>
  <c r="Q22" i="9" s="1"/>
  <c r="O21" i="9"/>
  <c r="Q21" i="9" s="1"/>
  <c r="O20" i="9"/>
  <c r="Q20" i="9" s="1"/>
  <c r="O19" i="9"/>
  <c r="Q19" i="9" s="1"/>
  <c r="O18" i="9"/>
  <c r="Q18" i="9" s="1"/>
  <c r="O17" i="9"/>
  <c r="P11" i="9"/>
  <c r="K11" i="9"/>
  <c r="J11" i="9"/>
  <c r="I11" i="9"/>
  <c r="H11" i="9"/>
  <c r="G11" i="9"/>
  <c r="F11" i="9"/>
  <c r="C11" i="9"/>
  <c r="O10" i="9"/>
  <c r="Q10" i="9" s="1"/>
  <c r="O9" i="9"/>
  <c r="Q9" i="9" s="1"/>
  <c r="O8" i="9"/>
  <c r="Q8" i="9" s="1"/>
  <c r="O7" i="9"/>
  <c r="Q7" i="9" s="1"/>
  <c r="O6" i="9"/>
  <c r="Q6" i="9" s="1"/>
  <c r="E11" i="9"/>
  <c r="D11" i="9"/>
  <c r="I107" i="9" l="1"/>
  <c r="J107" i="9" s="1"/>
  <c r="K107" i="9" s="1"/>
  <c r="L107" i="9" s="1"/>
  <c r="M107" i="9" s="1"/>
  <c r="N107" i="9" s="1"/>
  <c r="I63" i="9"/>
  <c r="F104" i="9"/>
  <c r="O134" i="9"/>
  <c r="O78" i="9" s="1"/>
  <c r="O101" i="9"/>
  <c r="O76" i="9" s="1"/>
  <c r="E141" i="9"/>
  <c r="D77" i="9"/>
  <c r="E125" i="9"/>
  <c r="E134" i="9" s="1"/>
  <c r="D134" i="9"/>
  <c r="D78" i="9" s="1"/>
  <c r="E86" i="9"/>
  <c r="F86" i="9" s="1"/>
  <c r="D101" i="9"/>
  <c r="D76" i="9" s="1"/>
  <c r="J63" i="9"/>
  <c r="K63" i="9"/>
  <c r="H63" i="9"/>
  <c r="D63" i="9"/>
  <c r="O57" i="9"/>
  <c r="Q56" i="9" s="1"/>
  <c r="E63" i="9"/>
  <c r="G63" i="9"/>
  <c r="E138" i="9"/>
  <c r="L63" i="9"/>
  <c r="F63" i="9"/>
  <c r="N63" i="9"/>
  <c r="M63" i="9"/>
  <c r="J75" i="9"/>
  <c r="Q17" i="9"/>
  <c r="C63" i="9"/>
  <c r="C75" i="9"/>
  <c r="C80" i="9" s="1"/>
  <c r="K75" i="9"/>
  <c r="E89" i="9"/>
  <c r="F89" i="9" s="1"/>
  <c r="G89" i="9" s="1"/>
  <c r="H89" i="9" s="1"/>
  <c r="I89" i="9" s="1"/>
  <c r="J89" i="9" s="1"/>
  <c r="K89" i="9" s="1"/>
  <c r="L89" i="9" s="1"/>
  <c r="M89" i="9" s="1"/>
  <c r="N89" i="9" s="1"/>
  <c r="G104" i="9"/>
  <c r="E101" i="9" l="1"/>
  <c r="E76" i="9" s="1"/>
  <c r="F101" i="9"/>
  <c r="F76" i="9" s="1"/>
  <c r="F141" i="9"/>
  <c r="E162" i="9"/>
  <c r="E77" i="9" s="1"/>
  <c r="F125" i="9"/>
  <c r="E78" i="9"/>
  <c r="O62" i="9"/>
  <c r="Q62" i="9" s="1"/>
  <c r="D80" i="9"/>
  <c r="F138" i="9"/>
  <c r="G86" i="9"/>
  <c r="G101" i="9" s="1"/>
  <c r="O11" i="9"/>
  <c r="H104" i="9"/>
  <c r="G141" i="9" l="1"/>
  <c r="F162" i="9"/>
  <c r="F77" i="9" s="1"/>
  <c r="G125" i="9"/>
  <c r="F134" i="9"/>
  <c r="F78" i="9" s="1"/>
  <c r="E80" i="9"/>
  <c r="G138" i="9"/>
  <c r="I104" i="9"/>
  <c r="O63" i="9"/>
  <c r="Q11" i="9"/>
  <c r="G76" i="9"/>
  <c r="H86" i="9"/>
  <c r="H101" i="9" s="1"/>
  <c r="F80" i="9" l="1"/>
  <c r="H141" i="9"/>
  <c r="G162" i="9"/>
  <c r="G77" i="9" s="1"/>
  <c r="H125" i="9"/>
  <c r="G134" i="9"/>
  <c r="G78" i="9" s="1"/>
  <c r="H138" i="9"/>
  <c r="J104" i="9"/>
  <c r="H76" i="9"/>
  <c r="I86" i="9"/>
  <c r="I101" i="9" s="1"/>
  <c r="G80" i="9" l="1"/>
  <c r="I141" i="9"/>
  <c r="H162" i="9"/>
  <c r="H77" i="9" s="1"/>
  <c r="I125" i="9"/>
  <c r="H134" i="9"/>
  <c r="H78" i="9" s="1"/>
  <c r="I138" i="9"/>
  <c r="J86" i="9"/>
  <c r="J101" i="9" s="1"/>
  <c r="I76" i="9"/>
  <c r="K104" i="9"/>
  <c r="H80" i="9" l="1"/>
  <c r="J141" i="9"/>
  <c r="I162" i="9"/>
  <c r="I77" i="9" s="1"/>
  <c r="J125" i="9"/>
  <c r="I134" i="9"/>
  <c r="I78" i="9" s="1"/>
  <c r="J138" i="9"/>
  <c r="L104" i="9"/>
  <c r="K86" i="9"/>
  <c r="K101" i="9" s="1"/>
  <c r="J76" i="9"/>
  <c r="I80" i="9" l="1"/>
  <c r="K141" i="9"/>
  <c r="J162" i="9"/>
  <c r="J77" i="9" s="1"/>
  <c r="K125" i="9"/>
  <c r="J134" i="9"/>
  <c r="J78" i="9" s="1"/>
  <c r="K138" i="9"/>
  <c r="L86" i="9"/>
  <c r="L101" i="9" s="1"/>
  <c r="K76" i="9"/>
  <c r="M104" i="9"/>
  <c r="J80" i="9" l="1"/>
  <c r="L141" i="9"/>
  <c r="K162" i="9"/>
  <c r="K77" i="9" s="1"/>
  <c r="L125" i="9"/>
  <c r="K134" i="9"/>
  <c r="K78" i="9" s="1"/>
  <c r="L138" i="9"/>
  <c r="N104" i="9"/>
  <c r="L76" i="9"/>
  <c r="M86" i="9"/>
  <c r="M101" i="9" s="1"/>
  <c r="K80" i="9" l="1"/>
  <c r="M141" i="9"/>
  <c r="L162" i="9"/>
  <c r="L77" i="9" s="1"/>
  <c r="M125" i="9"/>
  <c r="L134" i="9"/>
  <c r="L78" i="9" s="1"/>
  <c r="M138" i="9"/>
  <c r="N86" i="9"/>
  <c r="M76" i="9"/>
  <c r="L80" i="9" l="1"/>
  <c r="N141" i="9"/>
  <c r="M162" i="9"/>
  <c r="M77" i="9" s="1"/>
  <c r="N125" i="9"/>
  <c r="N134" i="9" s="1"/>
  <c r="N78" i="9" s="1"/>
  <c r="M134" i="9"/>
  <c r="M78" i="9" s="1"/>
  <c r="N101" i="9"/>
  <c r="N76" i="9" s="1"/>
  <c r="N138" i="9"/>
  <c r="M80" i="9" l="1"/>
  <c r="O141" i="9"/>
  <c r="O162" i="9" s="1"/>
  <c r="O77" i="9" s="1"/>
  <c r="O80" i="9" s="1"/>
  <c r="N162" i="9"/>
  <c r="N77" i="9" s="1"/>
  <c r="N80" i="9" s="1"/>
  <c r="L7" i="7"/>
  <c r="O36" i="7" l="1"/>
  <c r="Q36" i="7" s="1"/>
  <c r="C164" i="7" l="1"/>
  <c r="F161" i="7"/>
  <c r="G161" i="7" s="1"/>
  <c r="H161" i="7" s="1"/>
  <c r="I161" i="7" s="1"/>
  <c r="J161" i="7" s="1"/>
  <c r="K161" i="7" s="1"/>
  <c r="L161" i="7" s="1"/>
  <c r="M161" i="7" s="1"/>
  <c r="N161" i="7" s="1"/>
  <c r="O161" i="7" s="1"/>
  <c r="H10" i="7"/>
  <c r="H7" i="7"/>
  <c r="I96" i="7"/>
  <c r="E5" i="7"/>
  <c r="D5" i="7"/>
  <c r="D10" i="7" l="1"/>
  <c r="C5" i="7"/>
  <c r="C57" i="7"/>
  <c r="P62" i="7" l="1"/>
  <c r="O6" i="7"/>
  <c r="O7" i="7"/>
  <c r="O8" i="7"/>
  <c r="O9" i="7"/>
  <c r="O10" i="7"/>
  <c r="O5" i="7"/>
  <c r="Q5" i="7" s="1"/>
  <c r="C11" i="7"/>
  <c r="O54" i="7"/>
  <c r="Q54" i="7" s="1"/>
  <c r="D140" i="7" l="1"/>
  <c r="D143" i="7"/>
  <c r="E143" i="7" s="1"/>
  <c r="F143" i="7" s="1"/>
  <c r="G143" i="7" s="1"/>
  <c r="H143" i="7" s="1"/>
  <c r="I143" i="7" s="1"/>
  <c r="J143" i="7" s="1"/>
  <c r="K143" i="7" s="1"/>
  <c r="L143" i="7" s="1"/>
  <c r="M143" i="7" s="1"/>
  <c r="N143" i="7" s="1"/>
  <c r="O143" i="7" s="1"/>
  <c r="D146" i="7"/>
  <c r="E146" i="7" s="1"/>
  <c r="F146" i="7" s="1"/>
  <c r="G146" i="7" s="1"/>
  <c r="H146" i="7" s="1"/>
  <c r="I146" i="7" s="1"/>
  <c r="J146" i="7" s="1"/>
  <c r="K146" i="7" s="1"/>
  <c r="L146" i="7" s="1"/>
  <c r="M146" i="7" s="1"/>
  <c r="N146" i="7" s="1"/>
  <c r="O146" i="7" s="1"/>
  <c r="D149" i="7"/>
  <c r="E149" i="7" s="1"/>
  <c r="F149" i="7" s="1"/>
  <c r="G149" i="7" s="1"/>
  <c r="H149" i="7" s="1"/>
  <c r="I149" i="7" s="1"/>
  <c r="J149" i="7" s="1"/>
  <c r="K149" i="7" s="1"/>
  <c r="L149" i="7" s="1"/>
  <c r="M149" i="7" s="1"/>
  <c r="N149" i="7" s="1"/>
  <c r="O149" i="7" s="1"/>
  <c r="D152" i="7"/>
  <c r="E152" i="7" s="1"/>
  <c r="F152" i="7" s="1"/>
  <c r="G152" i="7" s="1"/>
  <c r="H152" i="7" s="1"/>
  <c r="I152" i="7" s="1"/>
  <c r="J152" i="7" s="1"/>
  <c r="K152" i="7" s="1"/>
  <c r="L152" i="7" s="1"/>
  <c r="M152" i="7" s="1"/>
  <c r="N152" i="7" s="1"/>
  <c r="O152" i="7" s="1"/>
  <c r="D155" i="7"/>
  <c r="E155" i="7" s="1"/>
  <c r="F155" i="7" s="1"/>
  <c r="G155" i="7" s="1"/>
  <c r="H155" i="7" s="1"/>
  <c r="I155" i="7" s="1"/>
  <c r="J155" i="7" s="1"/>
  <c r="K155" i="7" s="1"/>
  <c r="L155" i="7" s="1"/>
  <c r="M155" i="7" s="1"/>
  <c r="N155" i="7" s="1"/>
  <c r="O155" i="7" s="1"/>
  <c r="D158" i="7"/>
  <c r="E158" i="7" s="1"/>
  <c r="F158" i="7" s="1"/>
  <c r="G158" i="7" s="1"/>
  <c r="H158" i="7" s="1"/>
  <c r="I158" i="7" s="1"/>
  <c r="J158" i="7" s="1"/>
  <c r="K158" i="7" s="1"/>
  <c r="L158" i="7" s="1"/>
  <c r="M158" i="7" s="1"/>
  <c r="N158" i="7" s="1"/>
  <c r="O158" i="7" s="1"/>
  <c r="I11" i="7"/>
  <c r="E140" i="7" l="1"/>
  <c r="D164" i="7"/>
  <c r="D103" i="7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103" i="7" s="1"/>
  <c r="C106" i="7"/>
  <c r="C81" i="7" s="1"/>
  <c r="O57" i="7"/>
  <c r="O33" i="7"/>
  <c r="Q33" i="7" s="1"/>
  <c r="O34" i="7"/>
  <c r="Q34" i="7" s="1"/>
  <c r="P11" i="7"/>
  <c r="C82" i="7"/>
  <c r="D133" i="7"/>
  <c r="E133" i="7" s="1"/>
  <c r="F133" i="7" s="1"/>
  <c r="G133" i="7" s="1"/>
  <c r="H133" i="7" s="1"/>
  <c r="I133" i="7" s="1"/>
  <c r="J133" i="7" s="1"/>
  <c r="K133" i="7" s="1"/>
  <c r="L133" i="7" s="1"/>
  <c r="M133" i="7" s="1"/>
  <c r="N133" i="7" s="1"/>
  <c r="O133" i="7" s="1"/>
  <c r="D130" i="7"/>
  <c r="E130" i="7" s="1"/>
  <c r="F130" i="7" s="1"/>
  <c r="G130" i="7" s="1"/>
  <c r="H130" i="7" s="1"/>
  <c r="I130" i="7" s="1"/>
  <c r="J130" i="7" s="1"/>
  <c r="K130" i="7" s="1"/>
  <c r="L130" i="7" s="1"/>
  <c r="M130" i="7" s="1"/>
  <c r="N130" i="7" s="1"/>
  <c r="O130" i="7" s="1"/>
  <c r="D127" i="7"/>
  <c r="E127" i="7" s="1"/>
  <c r="F127" i="7" s="1"/>
  <c r="G127" i="7" s="1"/>
  <c r="H127" i="7" s="1"/>
  <c r="I127" i="7" s="1"/>
  <c r="J127" i="7" s="1"/>
  <c r="K127" i="7" s="1"/>
  <c r="L127" i="7" s="1"/>
  <c r="M127" i="7" s="1"/>
  <c r="N127" i="7" s="1"/>
  <c r="O127" i="7" s="1"/>
  <c r="D124" i="7"/>
  <c r="E124" i="7" s="1"/>
  <c r="F124" i="7" s="1"/>
  <c r="G124" i="7" s="1"/>
  <c r="H124" i="7" s="1"/>
  <c r="I124" i="7" s="1"/>
  <c r="J124" i="7" s="1"/>
  <c r="K124" i="7" s="1"/>
  <c r="L124" i="7" s="1"/>
  <c r="M124" i="7" s="1"/>
  <c r="N124" i="7" s="1"/>
  <c r="O124" i="7" s="1"/>
  <c r="D121" i="7"/>
  <c r="E121" i="7" s="1"/>
  <c r="F121" i="7" s="1"/>
  <c r="G121" i="7" s="1"/>
  <c r="H121" i="7" s="1"/>
  <c r="I121" i="7" s="1"/>
  <c r="J121" i="7" s="1"/>
  <c r="K121" i="7" s="1"/>
  <c r="L121" i="7" s="1"/>
  <c r="M121" i="7" s="1"/>
  <c r="N121" i="7" s="1"/>
  <c r="O121" i="7" s="1"/>
  <c r="D118" i="7"/>
  <c r="E118" i="7" s="1"/>
  <c r="F118" i="7" s="1"/>
  <c r="G118" i="7" s="1"/>
  <c r="H118" i="7" s="1"/>
  <c r="I118" i="7" s="1"/>
  <c r="J118" i="7" s="1"/>
  <c r="K118" i="7" s="1"/>
  <c r="L118" i="7" s="1"/>
  <c r="M118" i="7" s="1"/>
  <c r="N118" i="7" s="1"/>
  <c r="O118" i="7" s="1"/>
  <c r="D115" i="7"/>
  <c r="E115" i="7" s="1"/>
  <c r="F115" i="7" s="1"/>
  <c r="G115" i="7" s="1"/>
  <c r="H115" i="7" s="1"/>
  <c r="I115" i="7" s="1"/>
  <c r="J115" i="7" s="1"/>
  <c r="K115" i="7" s="1"/>
  <c r="L115" i="7" s="1"/>
  <c r="M115" i="7" s="1"/>
  <c r="N115" i="7" s="1"/>
  <c r="O115" i="7" s="1"/>
  <c r="D112" i="7"/>
  <c r="E112" i="7" s="1"/>
  <c r="F112" i="7" s="1"/>
  <c r="G112" i="7" s="1"/>
  <c r="H112" i="7" s="1"/>
  <c r="I112" i="7" s="1"/>
  <c r="J112" i="7" s="1"/>
  <c r="K112" i="7" s="1"/>
  <c r="L112" i="7" s="1"/>
  <c r="M112" i="7" s="1"/>
  <c r="N112" i="7" s="1"/>
  <c r="O112" i="7" s="1"/>
  <c r="D109" i="7"/>
  <c r="E109" i="7" s="1"/>
  <c r="D100" i="7"/>
  <c r="E100" i="7" s="1"/>
  <c r="F100" i="7" s="1"/>
  <c r="G100" i="7" s="1"/>
  <c r="H100" i="7" s="1"/>
  <c r="I100" i="7" s="1"/>
  <c r="J100" i="7" s="1"/>
  <c r="K100" i="7" s="1"/>
  <c r="L100" i="7" s="1"/>
  <c r="M100" i="7" s="1"/>
  <c r="N100" i="7" s="1"/>
  <c r="O100" i="7" s="1"/>
  <c r="D97" i="7"/>
  <c r="E97" i="7" s="1"/>
  <c r="F97" i="7" s="1"/>
  <c r="G97" i="7" s="1"/>
  <c r="H97" i="7" s="1"/>
  <c r="I97" i="7" s="1"/>
  <c r="J97" i="7" s="1"/>
  <c r="K97" i="7" s="1"/>
  <c r="L97" i="7" s="1"/>
  <c r="M97" i="7" s="1"/>
  <c r="N97" i="7" s="1"/>
  <c r="O97" i="7" s="1"/>
  <c r="D94" i="7"/>
  <c r="E94" i="7" s="1"/>
  <c r="F94" i="7" s="1"/>
  <c r="G94" i="7" s="1"/>
  <c r="H94" i="7" s="1"/>
  <c r="I94" i="7" s="1"/>
  <c r="J94" i="7" s="1"/>
  <c r="K94" i="7" s="1"/>
  <c r="L94" i="7" s="1"/>
  <c r="M94" i="7" s="1"/>
  <c r="N94" i="7" s="1"/>
  <c r="O94" i="7" s="1"/>
  <c r="E91" i="7"/>
  <c r="F91" i="7" s="1"/>
  <c r="G91" i="7" s="1"/>
  <c r="O71" i="7"/>
  <c r="O77" i="7" s="1"/>
  <c r="N71" i="7"/>
  <c r="N80" i="7" s="1"/>
  <c r="M71" i="7"/>
  <c r="M80" i="7" s="1"/>
  <c r="L71" i="7"/>
  <c r="L80" i="7" s="1"/>
  <c r="K71" i="7"/>
  <c r="K77" i="7" s="1"/>
  <c r="J71" i="7"/>
  <c r="J77" i="7" s="1"/>
  <c r="I71" i="7"/>
  <c r="I80" i="7" s="1"/>
  <c r="H71" i="7"/>
  <c r="H77" i="7" s="1"/>
  <c r="G71" i="7"/>
  <c r="G80" i="7" s="1"/>
  <c r="F71" i="7"/>
  <c r="F80" i="7" s="1"/>
  <c r="E71" i="7"/>
  <c r="E80" i="7" s="1"/>
  <c r="D71" i="7"/>
  <c r="D80" i="7" s="1"/>
  <c r="C71" i="7"/>
  <c r="C77" i="7" s="1"/>
  <c r="N62" i="7"/>
  <c r="M62" i="7"/>
  <c r="L62" i="7"/>
  <c r="K62" i="7"/>
  <c r="J62" i="7"/>
  <c r="I62" i="7"/>
  <c r="H62" i="7"/>
  <c r="G62" i="7"/>
  <c r="F62" i="7"/>
  <c r="E62" i="7"/>
  <c r="D62" i="7"/>
  <c r="O60" i="7"/>
  <c r="O59" i="7"/>
  <c r="O58" i="7"/>
  <c r="O53" i="7"/>
  <c r="Q53" i="7" s="1"/>
  <c r="O52" i="7"/>
  <c r="Q52" i="7" s="1"/>
  <c r="O51" i="7"/>
  <c r="Q51" i="7" s="1"/>
  <c r="O50" i="7"/>
  <c r="Q50" i="7" s="1"/>
  <c r="O49" i="7"/>
  <c r="Q49" i="7" s="1"/>
  <c r="O42" i="7"/>
  <c r="Q42" i="7" s="1"/>
  <c r="O41" i="7"/>
  <c r="Q41" i="7" s="1"/>
  <c r="O40" i="7"/>
  <c r="Q40" i="7" s="1"/>
  <c r="O39" i="7"/>
  <c r="Q39" i="7" s="1"/>
  <c r="O35" i="7"/>
  <c r="Q35" i="7" s="1"/>
  <c r="O30" i="7"/>
  <c r="Q30" i="7" s="1"/>
  <c r="O29" i="7"/>
  <c r="Q29" i="7" s="1"/>
  <c r="O28" i="7"/>
  <c r="Q28" i="7" s="1"/>
  <c r="O27" i="7"/>
  <c r="Q27" i="7" s="1"/>
  <c r="O24" i="7"/>
  <c r="Q24" i="7" s="1"/>
  <c r="O23" i="7"/>
  <c r="Q23" i="7" s="1"/>
  <c r="O22" i="7"/>
  <c r="Q22" i="7" s="1"/>
  <c r="O21" i="7"/>
  <c r="Q21" i="7" s="1"/>
  <c r="O20" i="7"/>
  <c r="Q20" i="7" s="1"/>
  <c r="O19" i="7"/>
  <c r="Q19" i="7" s="1"/>
  <c r="O18" i="7"/>
  <c r="Q18" i="7" s="1"/>
  <c r="O17" i="7"/>
  <c r="Q17" i="7" s="1"/>
  <c r="N11" i="7"/>
  <c r="L11" i="7"/>
  <c r="J11" i="7"/>
  <c r="H11" i="7"/>
  <c r="G11" i="7"/>
  <c r="F11" i="7"/>
  <c r="D11" i="7"/>
  <c r="Q10" i="7"/>
  <c r="Q9" i="7"/>
  <c r="Q8" i="7"/>
  <c r="K11" i="7"/>
  <c r="Q6" i="7"/>
  <c r="M11" i="7"/>
  <c r="D84" i="7" l="1"/>
  <c r="E84" i="7"/>
  <c r="F140" i="7"/>
  <c r="E164" i="7"/>
  <c r="E82" i="7" s="1"/>
  <c r="G106" i="7"/>
  <c r="G81" i="7" s="1"/>
  <c r="H91" i="7"/>
  <c r="E136" i="7"/>
  <c r="E83" i="7" s="1"/>
  <c r="F109" i="7"/>
  <c r="E106" i="7"/>
  <c r="E81" i="7" s="1"/>
  <c r="F106" i="7"/>
  <c r="F81" i="7" s="1"/>
  <c r="D136" i="7"/>
  <c r="D83" i="7" s="1"/>
  <c r="C80" i="7"/>
  <c r="C85" i="7" s="1"/>
  <c r="D106" i="7"/>
  <c r="D81" i="7" s="1"/>
  <c r="D77" i="7"/>
  <c r="E77" i="7"/>
  <c r="F77" i="7"/>
  <c r="G77" i="7"/>
  <c r="I77" i="7"/>
  <c r="L77" i="7"/>
  <c r="M77" i="7"/>
  <c r="N77" i="7"/>
  <c r="K63" i="7"/>
  <c r="D63" i="7"/>
  <c r="G63" i="7"/>
  <c r="F63" i="7"/>
  <c r="Q56" i="7"/>
  <c r="N63" i="7"/>
  <c r="K80" i="7"/>
  <c r="O80" i="7"/>
  <c r="L63" i="7"/>
  <c r="H80" i="7"/>
  <c r="Q7" i="7"/>
  <c r="J80" i="7"/>
  <c r="I63" i="7"/>
  <c r="H63" i="7"/>
  <c r="J63" i="7"/>
  <c r="D82" i="7"/>
  <c r="C62" i="7"/>
  <c r="C63" i="7" s="1"/>
  <c r="M63" i="7"/>
  <c r="O48" i="7"/>
  <c r="Q48" i="7" s="1"/>
  <c r="E11" i="7"/>
  <c r="E63" i="7" s="1"/>
  <c r="G140" i="7" l="1"/>
  <c r="F164" i="7"/>
  <c r="F82" i="7" s="1"/>
  <c r="E85" i="7"/>
  <c r="I91" i="7"/>
  <c r="H106" i="7"/>
  <c r="H81" i="7" s="1"/>
  <c r="F136" i="7"/>
  <c r="F83" i="7" s="1"/>
  <c r="F85" i="7" s="1"/>
  <c r="G109" i="7"/>
  <c r="D85" i="7"/>
  <c r="O11" i="7"/>
  <c r="O62" i="7"/>
  <c r="Q62" i="7" s="1"/>
  <c r="H140" i="7" l="1"/>
  <c r="G164" i="7"/>
  <c r="G82" i="7" s="1"/>
  <c r="I106" i="7"/>
  <c r="I81" i="7" s="1"/>
  <c r="J91" i="7"/>
  <c r="G136" i="7"/>
  <c r="G83" i="7" s="1"/>
  <c r="H109" i="7"/>
  <c r="Q11" i="7"/>
  <c r="O63" i="7"/>
  <c r="I140" i="7" l="1"/>
  <c r="H164" i="7"/>
  <c r="H82" i="7" s="1"/>
  <c r="G85" i="7"/>
  <c r="J106" i="7"/>
  <c r="J81" i="7" s="1"/>
  <c r="K91" i="7"/>
  <c r="I109" i="7"/>
  <c r="H136" i="7"/>
  <c r="H83" i="7" s="1"/>
  <c r="H85" i="7" s="1"/>
  <c r="K106" i="7" l="1"/>
  <c r="K81" i="7" s="1"/>
  <c r="L91" i="7"/>
  <c r="J140" i="7"/>
  <c r="I164" i="7"/>
  <c r="I82" i="7" s="1"/>
  <c r="I136" i="7"/>
  <c r="I83" i="7" s="1"/>
  <c r="I85" i="7" s="1"/>
  <c r="J109" i="7"/>
  <c r="M91" i="7" l="1"/>
  <c r="L106" i="7"/>
  <c r="L81" i="7" s="1"/>
  <c r="J136" i="7"/>
  <c r="J83" i="7" s="1"/>
  <c r="K109" i="7"/>
  <c r="J164" i="7"/>
  <c r="J82" i="7" s="1"/>
  <c r="K140" i="7"/>
  <c r="J85" i="7" l="1"/>
  <c r="K164" i="7"/>
  <c r="K82" i="7" s="1"/>
  <c r="L140" i="7"/>
  <c r="K136" i="7"/>
  <c r="K83" i="7" s="1"/>
  <c r="L109" i="7"/>
  <c r="N91" i="7"/>
  <c r="M106" i="7"/>
  <c r="M81" i="7" s="1"/>
  <c r="K85" i="7"/>
  <c r="M140" i="7" l="1"/>
  <c r="L164" i="7"/>
  <c r="L82" i="7" s="1"/>
  <c r="M109" i="7"/>
  <c r="L136" i="7"/>
  <c r="L83" i="7" s="1"/>
  <c r="O91" i="7"/>
  <c r="O106" i="7" s="1"/>
  <c r="O81" i="7" s="1"/>
  <c r="N106" i="7"/>
  <c r="N81" i="7" s="1"/>
  <c r="N109" i="7" l="1"/>
  <c r="M136" i="7"/>
  <c r="M83" i="7" s="1"/>
  <c r="L85" i="7"/>
  <c r="N140" i="7"/>
  <c r="M164" i="7"/>
  <c r="M82" i="7" s="1"/>
  <c r="M85" i="7" s="1"/>
  <c r="O109" i="7" l="1"/>
  <c r="O136" i="7" s="1"/>
  <c r="O83" i="7" s="1"/>
  <c r="N136" i="7"/>
  <c r="N83" i="7" s="1"/>
  <c r="O140" i="7"/>
  <c r="O164" i="7" s="1"/>
  <c r="O82" i="7" s="1"/>
  <c r="O85" i="7" s="1"/>
  <c r="N164" i="7"/>
  <c r="N82" i="7" s="1"/>
  <c r="N8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3E483872-6D96-43F4-9CBF-7661EC2538F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$13925 Pledges paid last fiscal year</t>
        </r>
      </text>
    </comment>
    <comment ref="C6" authorId="0" shapeId="0" xr:uid="{5BDA288F-5F82-41DD-955B-889CDDCB094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$13958 Given in April 2023</t>
        </r>
      </text>
    </comment>
    <comment ref="A7" authorId="1" shapeId="0" xr:uid="{748A5719-B3EF-41C2-9C13-A74AC5BC519C}">
      <text>
        <r>
          <rPr>
            <sz val="10"/>
            <color rgb="FF000000"/>
            <rFont val="Arial1"/>
          </rPr>
          <t>Cards, auction and others</t>
        </r>
      </text>
    </comment>
    <comment ref="F7" authorId="0" shapeId="0" xr:uid="{BC2722A8-0E4A-46C6-B2D8-351C4336A33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P19" authorId="0" shapeId="0" xr:uid="{48A13E0A-974A-4B7A-8283-DEFA988885B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F33" authorId="0" shapeId="0" xr:uid="{31031E12-7BD1-47F8-A1E9-2D7DA5AFE75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made from the sale of items purchased in August</t>
        </r>
      </text>
    </comment>
    <comment ref="F35" authorId="0" shapeId="0" xr:uid="{DE27B83B-DE9C-4898-A1EC-3340380A27F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Cake for Jeff</t>
        </r>
      </text>
    </comment>
    <comment ref="D48" authorId="0" shapeId="0" xr:uid="{E50B5FE1-82B7-4BE0-A962-F98C9AD485A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Old check of $901.68 to Sarah Sanders for March 2023 had been lost, another was sent.</t>
        </r>
      </text>
    </comment>
    <comment ref="D88" authorId="0" shapeId="0" xr:uid="{669B2A1C-951D-468C-8265-E956CCB1140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$1294.1 from 2022/2023 surplus</t>
        </r>
      </text>
    </comment>
    <comment ref="D90" authorId="0" shapeId="0" xr:uid="{3A1E3ACB-F2D5-47E6-8160-9CA1378C722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Kitchen repairs</t>
        </r>
      </text>
    </comment>
    <comment ref="G90" authorId="0" shapeId="0" xr:uid="{4805D2C1-85DF-4CAA-AD76-5F9D52F65F2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Flooring repair from flood</t>
        </r>
      </text>
    </comment>
    <comment ref="D91" authorId="0" shapeId="0" xr:uid="{64D58CEB-A55D-48EB-BA5F-67C840D04C3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$11647 from 2022/2023 surplus</t>
        </r>
      </text>
    </comment>
    <comment ref="D96" authorId="0" shapeId="0" xr:uid="{5FC6EBE4-EE13-4D3D-8F0A-46E213BB4B6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$1500 advance to GA attendees</t>
        </r>
      </text>
    </comment>
    <comment ref="E96" authorId="0" shapeId="0" xr:uid="{E2A4F1E6-C9A8-4C01-A0A5-24C1CA406AA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Gift cards for flood repair</t>
        </r>
      </text>
    </comment>
    <comment ref="D126" authorId="0" shapeId="0" xr:uid="{75392BCC-DD78-47E6-8A87-28D786B3BB7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Yearly contribution from the fund</t>
        </r>
      </text>
    </comment>
    <comment ref="F143" authorId="0" shapeId="0" xr:uid="{83295E67-EB97-4ECB-85E2-C7DC8CB6E87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 pride</t>
        </r>
      </text>
    </comment>
    <comment ref="H143" authorId="0" shapeId="0" xr:uid="{DBC3EC9E-8469-40BD-89F3-326E6217746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APEC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894720E9-6009-4EC9-924A-F09EE147D9B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$21742 from early contributions</t>
        </r>
      </text>
    </comment>
    <comment ref="G6" authorId="0" shapeId="0" xr:uid="{B6F3B4CB-8B8B-4531-9BE8-7EB98CE29F0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$491 refund from insurance</t>
        </r>
      </text>
    </comment>
    <comment ref="M6" authorId="0" shapeId="0" xr:uid="{6F0C96FE-4A38-4498-BFAF-1A58E21FD8A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$120.9 was meant for the memorial wall</t>
        </r>
      </text>
    </comment>
    <comment ref="A7" authorId="1" shapeId="0" xr:uid="{FA356B81-4A18-457A-B131-0EA8E053D64A}">
      <text>
        <r>
          <rPr>
            <sz val="10"/>
            <color rgb="FF000000"/>
            <rFont val="Arial1"/>
          </rPr>
          <t>Cards, auction and others</t>
        </r>
      </text>
    </comment>
    <comment ref="C7" authorId="0" shapeId="0" xr:uid="{F9369A5D-E159-4C43-B330-09DC3232BC7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D7" authorId="0" shapeId="0" xr:uid="{27876621-36F5-43C0-8268-DDE3CB9F3B7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F7" authorId="0" shapeId="0" xr:uid="{F8D1CB4C-6841-41D9-AAC3-1A99D38D5D8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Amazon Smile</t>
        </r>
      </text>
    </comment>
    <comment ref="H7" authorId="0" shapeId="0" xr:uid="{396A4A1E-9F9C-4A8D-BB0C-CFF8E722968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$8,369.17 from auction, $35.29 from Amazon Smile</t>
        </r>
      </text>
    </comment>
    <comment ref="I7" authorId="0" shapeId="0" xr:uid="{0D3A2F59-7011-4B7C-9DC1-013B3D9E312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J7" authorId="0" shapeId="0" xr:uid="{B49069BD-439F-469A-B07F-97FD9553E6E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$1659 from Auction
$1000 from Grocery Cards</t>
        </r>
      </text>
    </comment>
    <comment ref="K7" authorId="0" shapeId="0" xr:uid="{9681D4FD-F8ED-4F71-8C34-DBB7251FDCD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$48 from Amazon smile,  $300 from Auction</t>
        </r>
      </text>
    </comment>
    <comment ref="L7" authorId="0" shapeId="0" xr:uid="{3303AF27-6C9B-4B3B-AD81-3B02DC856B1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M7" authorId="0" shapeId="0" xr:uid="{500A5C5F-25EC-413D-AAD2-8DA74957344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 from Auction
$1000 from Grocery Cards</t>
        </r>
      </text>
    </comment>
    <comment ref="N7" authorId="0" shapeId="0" xr:uid="{043AE9F1-8990-44E0-B833-B39AD0AD769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$40 For auction
$44.26 for Amazon smile
</t>
        </r>
      </text>
    </comment>
    <comment ref="F8" authorId="0" shapeId="0" xr:uid="{99C39878-14C1-440C-851C-DB40627EC17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 from Gibson   $190 from Robert</t>
        </r>
      </text>
    </comment>
    <comment ref="C10" authorId="0" shapeId="0" xr:uid="{EE5493DD-58A2-4505-B94B-EC5E2353203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$5,000 deposited from Vanguard
$1,161 transferred from Endowment designated fund</t>
        </r>
      </text>
    </comment>
    <comment ref="M12" authorId="0" shapeId="0" xr:uid="{2AA80F40-BC8A-42E4-BB5E-F90BD4899AF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 nonpledged gift</t>
        </r>
      </text>
    </comment>
    <comment ref="D17" authorId="0" shapeId="0" xr:uid="{B8156D1B-7E07-489A-80A6-3910DC9E5D6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$350 for roof repair</t>
        </r>
      </text>
    </comment>
    <comment ref="F18" authorId="0" shapeId="0" xr:uid="{C433B7BF-1161-4576-B35F-12893AA19F9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Mowing</t>
        </r>
      </text>
    </comment>
    <comment ref="C19" authorId="0" shapeId="0" xr:uid="{BFDB7008-DCE6-4BE2-AB44-39AEA724469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Workmen's comp</t>
        </r>
      </text>
    </comment>
    <comment ref="P19" authorId="0" shapeId="0" xr:uid="{33435A48-9C6B-4D1C-ADA8-B119E853AAC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J24" authorId="0" shapeId="0" xr:uid="{4F5E1020-3E00-420A-82A5-18EB363FE85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$250 for DRE ad</t>
        </r>
      </text>
    </comment>
    <comment ref="C27" authorId="0" shapeId="0" xr:uid="{DABEC7AD-22FA-4DDE-BB37-37F385B0123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$984 in supplies for classes</t>
        </r>
      </text>
    </comment>
    <comment ref="E27" authorId="0" shapeId="0" xr:uid="{9558909F-4010-4E71-AD9A-761047561D4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Sunday School supplies</t>
        </r>
      </text>
    </comment>
    <comment ref="M27" authorId="0" shapeId="0" xr:uid="{51558670-7440-4B94-BEA0-E769BDB4E3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 teacher dinner</t>
        </r>
      </text>
    </comment>
    <comment ref="D28" authorId="0" shapeId="0" xr:uid="{A403753B-2742-41EA-B255-607307B7AFA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Speaker fee</t>
        </r>
      </text>
    </comment>
    <comment ref="E28" authorId="0" shapeId="0" xr:uid="{02E80061-D63D-4DD9-93A1-9201E173EAE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Candles</t>
        </r>
      </text>
    </comment>
    <comment ref="G28" authorId="0" shapeId="0" xr:uid="{09303DD2-BBDA-45F4-B72D-1E2883E3A27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$558 for monitors</t>
        </r>
      </text>
    </comment>
    <comment ref="L28" authorId="0" shapeId="0" xr:uid="{2168D760-699F-4B81-BDDB-5EAC8EAF12F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Buttons for service</t>
        </r>
      </text>
    </comment>
    <comment ref="M28" authorId="0" shapeId="0" xr:uid="{5EF5268C-4730-48D4-ACC8-E1FD6049E72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Pizza for the service service</t>
        </r>
      </text>
    </comment>
    <comment ref="J29" authorId="0" shapeId="0" xr:uid="{915D9285-1CC3-45A1-AD86-6BE073BA987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Equipment</t>
        </r>
      </text>
    </comment>
    <comment ref="L29" authorId="0" shapeId="0" xr:uid="{B6CEAEB3-25AF-483D-AD64-D03565C7A1D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Music copyright</t>
        </r>
      </text>
    </comment>
    <comment ref="J33" authorId="0" shapeId="0" xr:uid="{74131921-EF93-4C57-92EE-DD231AEE03A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PTM</t>
        </r>
      </text>
    </comment>
    <comment ref="K40" authorId="0" shapeId="0" xr:uid="{CB4B0007-0E6D-4A9C-9513-A0D8028CB31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41" authorId="0" shapeId="0" xr:uid="{54B9C22F-0873-4875-8F42-00198BAEB51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JC Christmas tree</t>
        </r>
      </text>
    </comment>
    <comment ref="E41" authorId="0" shapeId="0" xr:uid="{2F400500-0C5C-4FCE-B953-584E9AB184E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Reimbursement for pizza on bus trip</t>
        </r>
      </text>
    </comment>
    <comment ref="F41" authorId="0" shapeId="0" xr:uid="{072F19C7-B8F8-4708-99EC-6206F2BD9C7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Memberships</t>
        </r>
      </text>
    </comment>
    <comment ref="J41" authorId="0" shapeId="0" xr:uid="{52C4F086-DE5C-44B0-96A3-B208E3D3C1E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Tee shirts</t>
        </r>
      </text>
    </comment>
    <comment ref="J48" authorId="0" shapeId="0" xr:uid="{88D39E1D-5D28-401E-98C7-71B92D8BFAC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PTO for Sarah White</t>
        </r>
      </text>
    </comment>
    <comment ref="G51" authorId="0" shapeId="0" xr:uid="{712F0898-BB75-487E-8194-204628075D2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FICA payment</t>
        </r>
      </text>
    </comment>
    <comment ref="L57" authorId="0" shapeId="0" xr:uid="{B76A4AED-7D54-4922-BB48-C6776103B60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Rev. Sapp's retirement paid in March due to changeover to Empower</t>
        </r>
      </text>
    </comment>
    <comment ref="M59" authorId="0" shapeId="0" xr:uid="{C914E6E0-0113-4393-8B4A-737627AA687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Two month's worth of church retirement contributions paid due to fund change</t>
        </r>
      </text>
    </comment>
    <comment ref="C60" authorId="0" shapeId="0" xr:uid="{791A20C9-08B7-4D1F-A70A-4A2A75E9ED1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60" authorId="0" shapeId="0" xr:uid="{0B1F8BBC-4419-4CA1-A70E-EB3B4A941C7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87" authorId="0" shapeId="0" xr:uid="{1BD7BAB6-88EA-4209-8500-A735EBAC559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Mulch for playground</t>
        </r>
      </text>
    </comment>
    <comment ref="F87" authorId="0" shapeId="0" xr:uid="{F9D91353-493A-437F-9D36-6DF0ED0B391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Concrete pad by RES</t>
        </r>
      </text>
    </comment>
    <comment ref="D88" authorId="0" shapeId="0" xr:uid="{D33D5F80-D8B3-469C-8EA5-34206689B4D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I88" authorId="0" shapeId="0" xr:uid="{80BFF2D7-58FD-4191-A11A-62B84806362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raised at auction for covered deck furniture</t>
        </r>
      </text>
    </comment>
    <comment ref="G90" authorId="0" shapeId="0" xr:uid="{3168AAE2-EDF2-436F-AD92-B366BCBDEB3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Gutters</t>
        </r>
      </text>
    </comment>
    <comment ref="K90" authorId="0" shapeId="0" xr:uid="{00758CF9-5491-4FFD-BE75-1792BA8B34D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Beginning of repairs for kitchen</t>
        </r>
      </text>
    </comment>
    <comment ref="L90" authorId="0" shapeId="0" xr:uid="{71432803-049B-4AC4-B81A-6AC1BF7257E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$5000 for windows
$1980 for flood
$422.66 for electricity due to flood</t>
        </r>
      </text>
    </comment>
    <comment ref="M90" authorId="0" shapeId="0" xr:uid="{91861262-96A4-4201-8971-7968AEC1A1D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$1599 for deck repairs
$318.39 for electricity due to flood repairs
</t>
        </r>
      </text>
    </comment>
    <comment ref="N90" authorId="0" shapeId="0" xr:uid="{820CA31C-A47E-4582-8FD3-AC300F7675F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$1500 for roof
$18889 for Kitchen flood repair</t>
        </r>
      </text>
    </comment>
    <comment ref="D91" authorId="0" shapeId="0" xr:uid="{EFCD0964-FEF6-43EA-AF4B-DE9C4DDD280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H91" authorId="0" shapeId="0" xr:uid="{5C1375EE-641F-4956-A62A-853067AE864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Donation</t>
        </r>
      </text>
    </comment>
    <comment ref="M91" authorId="0" shapeId="0" xr:uid="{294CF0EF-9BAE-46C1-B9DD-504AEC58BFF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from insurance for kitchen flood</t>
        </r>
      </text>
    </comment>
    <comment ref="G93" authorId="0" shapeId="0" xr:uid="{B0325C70-9A1D-4080-B5FD-615983A6C9C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Installation</t>
        </r>
      </text>
    </comment>
    <comment ref="H93" authorId="0" shapeId="0" xr:uid="{86AE767B-B46F-49D5-B8D2-64AB9E7B5B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Installation</t>
        </r>
      </text>
    </comment>
    <comment ref="K96" authorId="0" shapeId="0" xr:uid="{54FD44A0-D290-4919-9213-C29A8CBEAC8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UUA class for congregation</t>
        </r>
      </text>
    </comment>
    <comment ref="D97" authorId="0" shapeId="0" xr:uid="{80C63D77-B86A-4244-BA51-54D1CA7A889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O97" authorId="0" shapeId="0" xr:uid="{114E752F-1EF4-442A-92EA-D6572032C70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reimbursement for books bought for class</t>
        </r>
      </text>
    </comment>
    <comment ref="O100" authorId="0" shapeId="0" xr:uid="{AAB785C6-1DB5-41E7-80F7-6D580983E3C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Transferred from Budget</t>
        </r>
      </text>
    </comment>
    <comment ref="F118" authorId="0" shapeId="0" xr:uid="{AB956B63-1ADC-4899-9329-D735F309377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Concert</t>
        </r>
      </text>
    </comment>
    <comment ref="K124" authorId="0" shapeId="0" xr:uid="{E48C30AF-B03B-45B4-BB13-34EB5237488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From Green Arts Festival</t>
        </r>
      </text>
    </comment>
    <comment ref="D126" authorId="0" shapeId="0" xr:uid="{7994CFFF-AB68-4E3B-B93F-5799EF2EEE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$1161 transferred to Endowment budget line</t>
        </r>
      </text>
    </comment>
    <comment ref="E139" authorId="0" shapeId="0" xr:uid="{4FEDC55D-8EA8-4DB4-8905-C7F09872EFB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TriPride parade</t>
        </r>
      </text>
    </comment>
    <comment ref="F140" authorId="0" shapeId="0" xr:uid="{A7466296-1A29-42EE-9A87-2F8F24A43AF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Tri-Pride</t>
        </r>
      </text>
    </comment>
    <comment ref="I140" authorId="0" shapeId="0" xr:uid="{2EA415C2-79C0-4105-A092-D0C20EBA7FC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Hunger First</t>
        </r>
      </text>
    </comment>
    <comment ref="K140" authorId="0" shapeId="0" xr:uid="{69FCDAC0-003F-401E-9E31-85EC7D0168C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One Acre Cafe</t>
        </r>
      </text>
    </comment>
    <comment ref="O140" authorId="0" shapeId="0" xr:uid="{A83A9A25-0F61-4B03-A3F3-4F1A213B35E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Hope for Bristol</t>
        </r>
      </text>
    </comment>
    <comment ref="G142" authorId="0" shapeId="0" xr:uid="{DA694C18-7085-4CD5-94F9-08CB933AF1A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Food</t>
        </r>
      </text>
    </comment>
    <comment ref="H161" authorId="0" shapeId="0" xr:uid="{44BD1A63-0FA6-43ED-9896-38410268849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Langston Center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781A4E15-B020-45FD-A348-6DC98374167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$18580 from pledges received before June 1, 2021</t>
        </r>
      </text>
    </comment>
    <comment ref="D5" authorId="0" shapeId="0" xr:uid="{27364225-D935-4B44-9C26-62897A9E50C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$71.61 from Paypal</t>
        </r>
      </text>
    </comment>
    <comment ref="E5" authorId="0" shapeId="0" xr:uid="{72AF0EB7-C256-4B32-A974-DD9A4A3DFB5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$32.49 Amazon Smile
</t>
        </r>
      </text>
    </comment>
    <comment ref="G5" authorId="0" shapeId="0" xr:uid="{8AE13AA7-BDCC-4DBC-9239-30A1D60C80B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$125.25 from PayPal</t>
        </r>
      </text>
    </comment>
    <comment ref="A7" authorId="1" shapeId="0" xr:uid="{D9AB6D0E-0CB3-4108-A415-2DCB9CD41F52}">
      <text>
        <r>
          <rPr>
            <sz val="10"/>
            <color rgb="FF000000"/>
            <rFont val="Arial1"/>
          </rPr>
          <t>Cards, auction and others</t>
        </r>
      </text>
    </comment>
    <comment ref="H7" authorId="0" shapeId="0" xr:uid="{AA6E31C5-27DF-4A6E-A4FD-0E3CA2AE1C9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Auction, $33.40 from Amazon Smile</t>
        </r>
      </text>
    </comment>
    <comment ref="L7" authorId="0" shapeId="0" xr:uid="{F4DE641B-ADB9-4601-AF43-2E2718A6759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$3000 from Grocery cards, $55 from Auction, $48.89 from Amazon Smile</t>
        </r>
      </text>
    </comment>
    <comment ref="N7" authorId="0" shapeId="0" xr:uid="{5AAE0911-8EBC-4D83-BF06-FD95E6B4FF5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$40.45 from Amazon Smile, $100 from Auction</t>
        </r>
      </text>
    </comment>
    <comment ref="H9" authorId="0" shapeId="0" xr:uid="{7C94D7C5-7BAB-4175-9348-C9867C5D558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Dividend from Church Mutual</t>
        </r>
      </text>
    </comment>
    <comment ref="J9" authorId="0" shapeId="0" xr:uid="{3A78672B-97C7-4A07-8C47-35E2395F7BE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UMC Retreat Res Refund</t>
        </r>
      </text>
    </comment>
    <comment ref="C10" authorId="0" shapeId="0" xr:uid="{0288FF9A-BE7D-4785-A83B-E0FE39FDC2D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$1437 transferred from Endowment Designated Fund</t>
        </r>
      </text>
    </comment>
    <comment ref="D10" authorId="0" shapeId="0" xr:uid="{74404179-5D07-4070-B4F6-8DDA397EE79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Transferred from Vanguard
$33.38 from PayPal as gifts</t>
        </r>
      </text>
    </comment>
    <comment ref="H10" authorId="0" shapeId="0" xr:uid="{7F8D137C-043F-4869-8A27-EB1847D5FA5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$45 from Paypal</t>
        </r>
      </text>
    </comment>
    <comment ref="J10" authorId="0" shapeId="0" xr:uid="{3EA9289A-9FCE-4781-998F-D8B81428BF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+$66.02 from Paypal + $400 from Everhart</t>
        </r>
      </text>
    </comment>
    <comment ref="L10" authorId="0" shapeId="0" xr:uid="{F50AC48C-1D1F-43EE-AD87-71E9F89E5DD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PayPal</t>
        </r>
      </text>
    </comment>
    <comment ref="K17" authorId="0" shapeId="0" xr:uid="{9DFBFA0A-1D4F-4D6E-A608-209E4943D6D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 for Pest Control</t>
        </r>
      </text>
    </comment>
    <comment ref="K21" authorId="0" shapeId="0" xr:uid="{CD0BADCE-E2DC-4B7D-AB0D-A10B674395B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$236.52 for SquareSpace</t>
        </r>
      </text>
    </comment>
    <comment ref="N24" authorId="0" shapeId="0" xr:uid="{F01B5EDA-2CD6-4B06-9D95-C25DA44CD0B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Computer and Microsoft Office software</t>
        </r>
      </text>
    </comment>
    <comment ref="M27" authorId="0" shapeId="0" xr:uid="{CF51C3CB-48BA-412F-BD09-E6EE867C3C8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Computer purchased</t>
        </r>
      </text>
    </comment>
    <comment ref="K28" authorId="0" shapeId="0" xr:uid="{B6158651-FD42-4F9B-A8F6-67CEE000A76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$598 for equipment, $98 for COVID tests</t>
        </r>
      </text>
    </comment>
    <comment ref="O28" authorId="0" shapeId="0" xr:uid="{3D8C3BCE-0039-40CD-8BE0-694D9152ED6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Covid tests were purchased when services started at church</t>
        </r>
      </text>
    </comment>
    <comment ref="F39" authorId="0" shapeId="0" xr:uid="{C2F04CA3-5C9E-4F73-9CF2-C4085C03F60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Actria license
</t>
        </r>
      </text>
    </comment>
    <comment ref="K40" authorId="0" shapeId="0" xr:uid="{5B940D85-BE7C-4418-860E-20756DD370B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L40" authorId="0" shapeId="0" xr:uid="{854ECCD0-4597-4A71-B463-65738D152C7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C91" authorId="1" shapeId="0" xr:uid="{FBF72B11-1446-447F-A4D0-3AA86F0306B7}">
      <text>
        <r>
          <rPr>
            <b/>
            <sz val="9"/>
            <color rgb="FF000000"/>
            <rFont val="Arial"/>
            <family val="2"/>
          </rPr>
          <t xml:space="preserve">Deborah Helmer:
</t>
        </r>
        <r>
          <rPr>
            <sz val="9"/>
            <color rgb="FF000000"/>
            <rFont val="Arial"/>
            <family val="2"/>
          </rPr>
          <t>Total includes $5325 raised from auction for playground and deck furniture, and $2000 designated for the deck.</t>
        </r>
      </text>
    </comment>
    <comment ref="M92" authorId="0" shapeId="0" xr:uid="{470B0BAE-BD3D-4101-A148-A0BFFD4E776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Playground equipment</t>
        </r>
      </text>
    </comment>
    <comment ref="N92" authorId="0" shapeId="0" xr:uid="{82C41178-9898-4972-84DF-ECE83FA2DD3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Part of the playground equipment</t>
        </r>
      </text>
    </comment>
    <comment ref="H95" authorId="0" shapeId="0" xr:uid="{8D653432-A97C-41C5-BABB-78DCA5778E9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HVAC repair</t>
        </r>
      </text>
    </comment>
    <comment ref="I96" authorId="0" shapeId="0" xr:uid="{6AB68924-8B4E-4C58-AC86-630C35A8954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 from Paypal</t>
        </r>
      </text>
    </comment>
    <comment ref="D99" authorId="0" shapeId="0" xr:uid="{84C5F609-738D-4FE3-AC4A-49A44E2925B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Remaining amount in the search committee account</t>
        </r>
      </text>
    </comment>
    <comment ref="O105" authorId="0" shapeId="0" xr:uid="{7B7BA97A-1238-4B35-B279-7E1671F1194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Transfer from budget</t>
        </r>
      </text>
    </comment>
    <comment ref="H123" authorId="0" shapeId="0" xr:uid="{4E949273-9EC4-4F3E-BF99-7FEDEAFED2B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From Jacqueline Luck</t>
        </r>
      </text>
    </comment>
    <comment ref="K125" authorId="0" shapeId="0" xr:uid="{6761A2D5-412B-4442-8134-BA764081779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AED (Defib) batteries from Joseph Viola</t>
        </r>
      </text>
    </comment>
    <comment ref="O126" authorId="0" shapeId="0" xr:uid="{6C3C94F7-8975-4862-8CD7-BB407765F6F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for fellowship Desig. Fund starting June 2022</t>
        </r>
      </text>
    </comment>
    <comment ref="H135" authorId="0" shapeId="0" xr:uid="{2F4C666C-9704-461D-9EEE-B59BA53B758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For Sam Jones</t>
        </r>
      </text>
    </comment>
    <comment ref="O141" authorId="0" shapeId="0" xr:uid="{C9B95184-C573-4975-BB6B-E9419E5AFCD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for KOH collected in November</t>
        </r>
      </text>
    </comment>
    <comment ref="I142" authorId="0" shapeId="0" xr:uid="{B6546558-911E-4A99-A67D-44F8C94BC77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KOH 5th Sunday appeal</t>
        </r>
      </text>
    </comment>
    <comment ref="L142" authorId="0" shapeId="0" xr:uid="{BF243FED-9F99-452A-A2B3-834ACC3FA7D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For JC NAACP</t>
        </r>
      </text>
    </comment>
    <comment ref="M142" authorId="0" shapeId="0" xr:uid="{E1C74A78-B045-40C1-9AD3-EA5B8FF27FD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JC NAACP</t>
        </r>
      </text>
    </comment>
    <comment ref="O145" authorId="0" shapeId="0" xr:uid="{1C5D7E52-3696-422B-8450-0BEBEE41313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5th Sunday collection from November</t>
        </r>
      </text>
    </comment>
    <comment ref="D153" authorId="0" shapeId="0" xr:uid="{0BA21FA5-ED07-461F-922B-8E73934F97E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Check sent to WETS pledge drive</t>
        </r>
      </text>
    </comment>
    <comment ref="L163" authorId="0" shapeId="0" xr:uid="{6057592D-554C-4366-8D95-7F7157C0B1E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Hunger First</t>
        </r>
      </text>
    </comment>
  </commentList>
</comments>
</file>

<file path=xl/sharedStrings.xml><?xml version="1.0" encoding="utf-8"?>
<sst xmlns="http://schemas.openxmlformats.org/spreadsheetml/2006/main" count="632" uniqueCount="123">
  <si>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</si>
  <si>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</si>
  <si>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</si>
  <si>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</si>
  <si>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</si>
  <si>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</si>
  <si>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</si>
  <si>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</si>
  <si>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</si>
  <si>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</si>
  <si>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</si>
  <si>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</si>
  <si>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</si>
  <si>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</si>
  <si>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</si>
  <si>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</si>
  <si>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</si>
  <si>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 Plate</t>
  </si>
  <si>
    <t xml:space="preserve">   Fundraisers</t>
  </si>
  <si>
    <t xml:space="preserve">   Interest &amp; Misc</t>
  </si>
  <si>
    <t xml:space="preserve">   Endowment/Gifts</t>
  </si>
  <si>
    <t xml:space="preserve">  TOTAL INCOME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</si>
  <si>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</si>
  <si>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</si>
  <si>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</si>
  <si>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</si>
  <si>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</si>
  <si>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</si>
  <si>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</si>
  <si>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</si>
  <si>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</si>
  <si>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</si>
  <si>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</si>
  <si>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</si>
  <si>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</si>
  <si>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</si>
  <si>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</si>
  <si>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</si>
  <si>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</si>
  <si>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</si>
  <si>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</si>
  <si>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</si>
  <si>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</si>
  <si>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</si>
  <si>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</si>
  <si>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</si>
  <si>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</si>
  <si>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</si>
  <si>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</si>
  <si>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</si>
  <si>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</si>
  <si>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</si>
  <si>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</si>
  <si>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</si>
  <si>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</si>
  <si>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</si>
  <si>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</si>
  <si>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</si>
  <si>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</si>
  <si>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LIQUID ASSETS AND LIABILITIES*</t>
  </si>
  <si>
    <t>ASSETS</t>
  </si>
  <si>
    <t xml:space="preserve">  FIDELITY</t>
  </si>
  <si>
    <t xml:space="preserve">  TOTAL</t>
  </si>
  <si>
    <t>LIABILITIES*</t>
  </si>
  <si>
    <t>LIABILITIES MINUS</t>
  </si>
  <si>
    <t>ASSETS*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</si>
  <si>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</si>
  <si>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</si>
  <si>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</si>
  <si>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</si>
  <si>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</si>
  <si>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</si>
  <si>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</si>
  <si>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</si>
  <si>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</si>
  <si>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</si>
  <si>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</si>
  <si>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</si>
  <si>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</si>
  <si>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</si>
  <si>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Board Discretionary</t>
  </si>
  <si>
    <t>DESIGNATED FUNDS (COMMITTEE/ACTIVITY)</t>
  </si>
  <si>
    <t>WOMEN'S RETRT</t>
  </si>
  <si>
    <t>SENIOR YOUTH</t>
  </si>
  <si>
    <t>expenditures</t>
  </si>
  <si>
    <t>income</t>
  </si>
  <si>
    <t>Summer Camp</t>
  </si>
  <si>
    <t>MUSIC</t>
  </si>
  <si>
    <t>MISC</t>
  </si>
  <si>
    <t xml:space="preserve"> </t>
  </si>
  <si>
    <t>Green Sanctuary</t>
  </si>
  <si>
    <t>Endowment Fund</t>
  </si>
  <si>
    <t>Memorial Wall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</si>
  <si>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</si>
  <si>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</si>
  <si>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</si>
  <si>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</si>
  <si>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</si>
  <si>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</si>
  <si>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</si>
  <si>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</si>
  <si>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</si>
  <si>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RE</t>
  </si>
  <si>
    <t>Memorial Reception</t>
  </si>
  <si>
    <t>Employee Insurance</t>
  </si>
  <si>
    <t>Insurance</t>
  </si>
  <si>
    <t>2022/2023 pledges</t>
  </si>
  <si>
    <t>OPERATING BUDGET (FY 2021-2022)</t>
  </si>
  <si>
    <t>Bldg. use Donations</t>
  </si>
  <si>
    <t xml:space="preserve">  Ist Horizon Checking</t>
  </si>
  <si>
    <t xml:space="preserve">  Ist Horizon Saving</t>
  </si>
  <si>
    <t>Telephone/internet/licenses</t>
  </si>
  <si>
    <t>Miscellaneous</t>
  </si>
  <si>
    <t>SRCH/SABBATICAL</t>
  </si>
  <si>
    <t>LIQUID ASSETS</t>
  </si>
  <si>
    <t>Fellowship Fund</t>
  </si>
  <si>
    <t xml:space="preserve">  Non pledged gifts</t>
  </si>
  <si>
    <t xml:space="preserve">   Endowment</t>
  </si>
  <si>
    <t>OPERATING BUDGET (FY 2022-2023)</t>
  </si>
  <si>
    <t>2023/2024 pledges</t>
  </si>
  <si>
    <t>OPERATING BUDGET (FY 2023-2024)</t>
  </si>
  <si>
    <t>2024/2025 pledges</t>
  </si>
  <si>
    <t>CUUPS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</si>
</sst>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7"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sz val="10"/>
      <color rgb="FF000000"/>
      <name val="Arial1"/>
    </font>
    <font>
      <sz val="11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1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0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164" fontId="2" fillId="0" borderId="0">
      <alignment horizontal="center"/>
    </xf>
    <xf numFmtId="0" fontId="3" fillId="0" borderId="0">
      <alignment horizontal="left"/>
    </xf>
    <xf numFmtId="164" fontId="4" fillId="0" borderId="0"/>
    <xf numFmtId="9" fontId="3" fillId="0" borderId="0">
      <alignment horizontal="left"/>
    </xf>
    <xf numFmtId="0" fontId="5" fillId="0" borderId="0">
      <alignment horizontal="center"/>
    </xf>
    <xf numFmtId="0" fontId="5" fillId="0" borderId="0">
      <alignment horizontal="center" textRotation="90"/>
    </xf>
    <xf numFmtId="164" fontId="2" fillId="0" borderId="0">
      <alignment horizontal="center" textRotation="90"/>
    </xf>
    <xf numFmtId="0" fontId="1" fillId="0" borderId="0">
      <alignment horizontal="center" textRotation="90"/>
    </xf>
    <xf numFmtId="164" fontId="1" fillId="0" borderId="0">
      <alignment horizontal="center" textRotation="90"/>
    </xf>
    <xf numFmtId="0" fontId="6" fillId="0" borderId="0"/>
    <xf numFmtId="164" fontId="7" fillId="0" borderId="0"/>
    <xf numFmtId="0" fontId="8" fillId="0" borderId="0"/>
    <xf numFmtId="164" fontId="8" fillId="0" borderId="0"/>
    <xf numFmtId="165" fontId="6" fillId="0" borderId="0"/>
    <xf numFmtId="165" fontId="7" fillId="0" borderId="0"/>
    <xf numFmtId="165" fontId="8" fillId="0" borderId="0"/>
    <xf numFmtId="165" fontId="8" fillId="0" borderId="0"/>
  </cellStyleXfs>
  <cellXfs count="71">
    <xf numFmtId="0" fontId="0" fillId="0" borderId="0" xfId="0"/>
    <xf numFmtId="3" fontId="3" fillId="0" borderId="0" xfId="4" applyNumberFormat="1">
      <alignment horizontal="left"/>
    </xf>
    <xf numFmtId="3" fontId="14" fillId="0" borderId="0" xfId="4" applyNumberFormat="1" applyFont="1" applyAlignment="1">
      <alignment horizontal="right"/>
    </xf>
    <xf numFmtId="3" fontId="14" fillId="0" borderId="0" xfId="4" applyNumberFormat="1" applyFont="1">
      <alignment horizontal="left"/>
    </xf>
    <xf numFmtId="3" fontId="4" fillId="0" borderId="0" xfId="4" applyNumberFormat="1" applyFont="1">
      <alignment horizontal="left"/>
    </xf>
    <xf numFmtId="3" fontId="4" fillId="0" borderId="0" xfId="4" applyNumberFormat="1" applyFont="1" applyAlignment="1">
      <alignment horizontal="right"/>
    </xf>
    <xf numFmtId="3" fontId="15" fillId="0" borderId="0" xfId="4" applyNumberFormat="1" applyFont="1">
      <alignment horizontal="left"/>
    </xf>
    <xf numFmtId="3" fontId="16" fillId="0" borderId="0" xfId="4" applyNumberFormat="1" applyFont="1">
      <alignment horizontal="left"/>
    </xf>
    <xf numFmtId="3" fontId="7" fillId="0" borderId="0" xfId="4" applyNumberFormat="1" applyFont="1">
      <alignment horizontal="left"/>
    </xf>
    <xf numFmtId="3" fontId="4" fillId="0" borderId="0" xfId="4" applyNumberFormat="1" applyFont="1" applyAlignment="1">
      <alignment horizontal="left" indent="1"/>
    </xf>
    <xf numFmtId="3" fontId="4" fillId="2" borderId="0" xfId="4" applyNumberFormat="1" applyFont="1" applyFill="1" applyAlignment="1">
      <alignment horizontal="right"/>
    </xf>
    <xf numFmtId="3" fontId="13" fillId="0" borderId="0" xfId="0" applyNumberFormat="1" applyFont="1"/>
    <xf numFmtId="9" fontId="14" fillId="0" borderId="0" xfId="4" applyNumberFormat="1" applyFont="1" applyAlignment="1">
      <alignment horizontal="right"/>
    </xf>
    <xf numFmtId="9" fontId="4" fillId="0" borderId="0" xfId="4" applyNumberFormat="1" applyFont="1" applyAlignment="1">
      <alignment horizontal="right"/>
    </xf>
    <xf numFmtId="9" fontId="14" fillId="0" borderId="0" xfId="4" applyNumberFormat="1" applyFont="1">
      <alignment horizontal="left"/>
    </xf>
    <xf numFmtId="9" fontId="4" fillId="0" borderId="0" xfId="4" applyNumberFormat="1" applyFont="1">
      <alignment horizontal="left"/>
    </xf>
    <xf numFmtId="3" fontId="14" fillId="0" borderId="0" xfId="4" applyNumberFormat="1" applyFont="1" applyAlignment="1"/>
    <xf numFmtId="3" fontId="4" fillId="0" borderId="0" xfId="4" applyNumberFormat="1" applyFont="1" applyAlignment="1"/>
    <xf numFmtId="3" fontId="14" fillId="0" borderId="1" xfId="4" applyNumberFormat="1" applyFont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4" fillId="2" borderId="2" xfId="4" applyNumberFormat="1" applyFont="1" applyFill="1" applyBorder="1" applyAlignment="1">
      <alignment horizontal="right"/>
    </xf>
    <xf numFmtId="3" fontId="14" fillId="0" borderId="3" xfId="4" applyNumberFormat="1" applyFont="1" applyBorder="1" applyAlignment="1">
      <alignment horizontal="right"/>
    </xf>
    <xf numFmtId="3" fontId="4" fillId="0" borderId="3" xfId="4" applyNumberFormat="1" applyFont="1" applyBorder="1" applyAlignment="1">
      <alignment horizontal="right"/>
    </xf>
    <xf numFmtId="3" fontId="4" fillId="0" borderId="3" xfId="4" applyNumberFormat="1" applyFont="1" applyBorder="1">
      <alignment horizontal="left"/>
    </xf>
    <xf numFmtId="3" fontId="14" fillId="0" borderId="4" xfId="4" applyNumberFormat="1" applyFont="1" applyBorder="1">
      <alignment horizontal="left"/>
    </xf>
    <xf numFmtId="3" fontId="14" fillId="0" borderId="4" xfId="4" applyNumberFormat="1" applyFont="1" applyBorder="1" applyAlignment="1">
      <alignment horizontal="right"/>
    </xf>
    <xf numFmtId="3" fontId="14" fillId="0" borderId="4" xfId="4" applyNumberFormat="1" applyFont="1" applyBorder="1" applyAlignment="1"/>
    <xf numFmtId="3" fontId="4" fillId="0" borderId="4" xfId="4" applyNumberFormat="1" applyFont="1" applyBorder="1">
      <alignment horizontal="left"/>
    </xf>
    <xf numFmtId="3" fontId="13" fillId="0" borderId="4" xfId="0" applyNumberFormat="1" applyFont="1" applyBorder="1"/>
    <xf numFmtId="3" fontId="4" fillId="0" borderId="4" xfId="4" applyNumberFormat="1" applyFont="1" applyBorder="1" applyAlignment="1">
      <alignment horizontal="right"/>
    </xf>
    <xf numFmtId="3" fontId="4" fillId="0" borderId="4" xfId="4" applyNumberFormat="1" applyFont="1" applyBorder="1" applyAlignment="1"/>
    <xf numFmtId="9" fontId="4" fillId="0" borderId="4" xfId="4" applyNumberFormat="1" applyFont="1" applyBorder="1" applyAlignment="1">
      <alignment horizontal="right"/>
    </xf>
    <xf numFmtId="3" fontId="15" fillId="0" borderId="4" xfId="4" applyNumberFormat="1" applyFont="1" applyBorder="1">
      <alignment horizontal="left"/>
    </xf>
    <xf numFmtId="3" fontId="4" fillId="2" borderId="4" xfId="4" applyNumberFormat="1" applyFont="1" applyFill="1" applyBorder="1" applyAlignment="1">
      <alignment horizontal="right"/>
    </xf>
    <xf numFmtId="9" fontId="14" fillId="0" borderId="4" xfId="4" applyNumberFormat="1" applyFont="1" applyBorder="1">
      <alignment horizontal="left"/>
    </xf>
    <xf numFmtId="3" fontId="16" fillId="0" borderId="4" xfId="4" applyNumberFormat="1" applyFont="1" applyBorder="1">
      <alignment horizontal="left"/>
    </xf>
    <xf numFmtId="3" fontId="7" fillId="0" borderId="4" xfId="4" applyNumberFormat="1" applyFont="1" applyBorder="1">
      <alignment horizontal="left"/>
    </xf>
    <xf numFmtId="9" fontId="4" fillId="0" borderId="4" xfId="4" applyNumberFormat="1" applyFont="1" applyBorder="1">
      <alignment horizontal="left"/>
    </xf>
    <xf numFmtId="3" fontId="14" fillId="0" borderId="5" xfId="4" applyNumberFormat="1" applyFont="1" applyBorder="1">
      <alignment horizontal="left"/>
    </xf>
    <xf numFmtId="3" fontId="4" fillId="0" borderId="5" xfId="4" applyNumberFormat="1" applyFont="1" applyBorder="1">
      <alignment horizontal="left"/>
    </xf>
    <xf numFmtId="3" fontId="14" fillId="0" borderId="5" xfId="4" applyNumberFormat="1" applyFont="1" applyBorder="1" applyAlignment="1">
      <alignment horizontal="right"/>
    </xf>
    <xf numFmtId="3" fontId="14" fillId="0" borderId="5" xfId="4" applyNumberFormat="1" applyFont="1" applyBorder="1" applyAlignment="1"/>
    <xf numFmtId="3" fontId="4" fillId="0" borderId="5" xfId="4" applyNumberFormat="1" applyFont="1" applyBorder="1" applyAlignment="1">
      <alignment horizontal="right"/>
    </xf>
    <xf numFmtId="3" fontId="14" fillId="0" borderId="6" xfId="4" applyNumberFormat="1" applyFont="1" applyBorder="1">
      <alignment horizontal="left"/>
    </xf>
    <xf numFmtId="3" fontId="14" fillId="0" borderId="7" xfId="4" applyNumberFormat="1" applyFont="1" applyBorder="1">
      <alignment horizontal="left"/>
    </xf>
    <xf numFmtId="3" fontId="14" fillId="0" borderId="7" xfId="4" applyNumberFormat="1" applyFont="1" applyBorder="1" applyAlignment="1">
      <alignment horizontal="right"/>
    </xf>
    <xf numFmtId="3" fontId="14" fillId="0" borderId="7" xfId="4" applyNumberFormat="1" applyFont="1" applyBorder="1" applyAlignment="1"/>
    <xf numFmtId="9" fontId="14" fillId="0" borderId="8" xfId="4" applyNumberFormat="1" applyFont="1" applyBorder="1" applyAlignment="1">
      <alignment horizontal="right"/>
    </xf>
    <xf numFmtId="3" fontId="4" fillId="0" borderId="9" xfId="4" applyNumberFormat="1" applyFont="1" applyBorder="1">
      <alignment horizontal="left"/>
    </xf>
    <xf numFmtId="3" fontId="14" fillId="0" borderId="9" xfId="4" applyNumberFormat="1" applyFont="1" applyBorder="1">
      <alignment horizontal="left"/>
    </xf>
    <xf numFmtId="3" fontId="15" fillId="0" borderId="9" xfId="4" applyNumberFormat="1" applyFont="1" applyBorder="1">
      <alignment horizontal="left"/>
    </xf>
    <xf numFmtId="3" fontId="3" fillId="0" borderId="9" xfId="4" applyNumberFormat="1" applyBorder="1">
      <alignment horizontal="left"/>
    </xf>
    <xf numFmtId="3" fontId="4" fillId="0" borderId="9" xfId="4" applyNumberFormat="1" applyFont="1" applyBorder="1" applyAlignment="1">
      <alignment horizontal="left" indent="1"/>
    </xf>
    <xf numFmtId="3" fontId="14" fillId="0" borderId="10" xfId="4" applyNumberFormat="1" applyFont="1" applyBorder="1">
      <alignment horizontal="left"/>
    </xf>
    <xf numFmtId="3" fontId="4" fillId="0" borderId="11" xfId="4" applyNumberFormat="1" applyFont="1" applyBorder="1">
      <alignment horizontal="left"/>
    </xf>
    <xf numFmtId="9" fontId="14" fillId="0" borderId="12" xfId="4" applyNumberFormat="1" applyFont="1" applyBorder="1" applyAlignment="1">
      <alignment horizontal="right"/>
    </xf>
    <xf numFmtId="9" fontId="4" fillId="0" borderId="12" xfId="4" applyNumberFormat="1" applyFont="1" applyBorder="1" applyAlignment="1">
      <alignment horizontal="right"/>
    </xf>
    <xf numFmtId="9" fontId="14" fillId="0" borderId="12" xfId="4" applyNumberFormat="1" applyFont="1" applyBorder="1">
      <alignment horizontal="left"/>
    </xf>
    <xf numFmtId="9" fontId="4" fillId="0" borderId="12" xfId="4" applyNumberFormat="1" applyFont="1" applyBorder="1">
      <alignment horizontal="left"/>
    </xf>
    <xf numFmtId="3" fontId="4" fillId="0" borderId="12" xfId="4" applyNumberFormat="1" applyFont="1" applyBorder="1">
      <alignment horizontal="left"/>
    </xf>
    <xf numFmtId="3" fontId="14" fillId="0" borderId="12" xfId="4" applyNumberFormat="1" applyFont="1" applyBorder="1">
      <alignment horizontal="left"/>
    </xf>
    <xf numFmtId="9" fontId="4" fillId="0" borderId="13" xfId="4" applyNumberFormat="1" applyFont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4" fontId="4" fillId="0" borderId="0" xfId="4" applyNumberFormat="1" applyFont="1">
      <alignment horizontal="left"/>
    </xf>
    <xf numFmtId="4" fontId="14" fillId="0" borderId="0" xfId="4" applyNumberFormat="1" applyFont="1">
      <alignment horizontal="left"/>
    </xf>
    <xf numFmtId="1" fontId="4" fillId="0" borderId="4" xfId="4" applyNumberFormat="1" applyFont="1" applyBorder="1" applyAlignment="1">
      <alignment horizontal="right"/>
    </xf>
    <xf numFmtId="3" fontId="4" fillId="0" borderId="12" xfId="4" applyNumberFormat="1" applyFont="1" applyBorder="1" applyAlignment="1">
      <alignment horizontal="right"/>
    </xf>
    <xf numFmtId="3" fontId="4" fillId="0" borderId="9" xfId="4" applyNumberFormat="1" applyFont="1" applyBorder="1">
      <alignment horizontal="left"/>
    </xf>
    <xf numFmtId="3" fontId="4" fillId="0" borderId="4" xfId="4" applyNumberFormat="1" applyFont="1" applyBorder="1">
      <alignment horizontal="left"/>
    </xf>
    <xf numFmtId="3" fontId="4" fillId="0" borderId="0" xfId="4" applyNumberFormat="1" applyFont="1">
      <alignment horizontal="left"/>
    </xf>
    <xf numFmtId="1" fontId="4" fillId="0" borderId="12" xfId="4" applyNumberFormat="1" applyFont="1" applyBorder="1" applyAlignment="1">
      <alignment horizontal="right"/>
    </xf>
  </cellXfs>
  <cellStyles count="20">
    <cellStyle name="Excel Built-in Heading 1" xfId="2" xr:uid="{00000000-0005-0000-0000-000000000000}"/>
    <cellStyle name="Excel Built-in Heading 1 1" xfId="3" xr:uid="{00000000-0005-0000-0000-000001000000}"/>
    <cellStyle name="Excel Built-in Normal 1" xfId="4" xr:uid="{00000000-0005-0000-0000-000002000000}"/>
    <cellStyle name="Excel Built-in Normal 2" xfId="5" xr:uid="{00000000-0005-0000-0000-000003000000}"/>
    <cellStyle name="Excel Built-in Percent" xfId="6" xr:uid="{00000000-0005-0000-0000-000004000000}"/>
    <cellStyle name="Heading" xfId="7" xr:uid="{00000000-0005-0000-0000-000005000000}"/>
    <cellStyle name="Heading 1" xfId="1" builtinId="16" customBuiltin="1"/>
    <cellStyle name="Heading1" xfId="8" xr:uid="{00000000-0005-0000-0000-000007000000}"/>
    <cellStyle name="Heading1 1" xfId="9" xr:uid="{00000000-0005-0000-0000-000008000000}"/>
    <cellStyle name="Heading1 2" xfId="10" xr:uid="{00000000-0005-0000-0000-000009000000}"/>
    <cellStyle name="Heading1 3" xfId="11" xr:uid="{00000000-0005-0000-0000-00000A000000}"/>
    <cellStyle name="Normal" xfId="0" builtinId="0" customBuiltin="1"/>
    <cellStyle name="Result" xfId="12" xr:uid="{00000000-0005-0000-0000-00000C000000}"/>
    <cellStyle name="Result 1" xfId="13" xr:uid="{00000000-0005-0000-0000-00000D000000}"/>
    <cellStyle name="Result 2" xfId="14" xr:uid="{00000000-0005-0000-0000-00000E000000}"/>
    <cellStyle name="Result 3" xfId="15" xr:uid="{00000000-0005-0000-0000-00000F000000}"/>
    <cellStyle name="Result2" xfId="16" xr:uid="{00000000-0005-0000-0000-000010000000}"/>
    <cellStyle name="Result2 1" xfId="17" xr:uid="{00000000-0005-0000-0000-000011000000}"/>
    <cellStyle name="Result2 2" xfId="18" xr:uid="{00000000-0005-0000-0000-000012000000}"/>
    <cellStyle name="Result2 3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borah Helmer" id="{16435E9F-79CB-4936-9E67-99EED31B1EB6}" userId="6ea47c7600a8ed4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" dT="2023-02-19T20:04:45.69" personId="{16435E9F-79CB-4936-9E67-99EED31B1EB6}" id="{00864A04-6563-444F-ADCA-F8F93BE6215B}">
    <text>Amazon smile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250A-1293-458C-AD32-2C03306285AC}">
  <sheetPr>
    <pageSetUpPr fitToPage="1"/>
  </sheetPr>
  <dimension ref="A1:Q165"/>
  <sheetViews>
    <sheetView tabSelected="1" topLeftCell="A46" workbookViewId="0">
      <selection activeCell="O63" sqref="O63"/>
    </sheetView>
  </sheetViews>
  <sheetFormatPr defaultRowHeight="13.8"/>
  <sheetData>
    <row r="1" spans="1:17">
      <c r="A1" s="43" t="s">
        <v>120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5"/>
      <c r="Q1" s="47"/>
    </row>
    <row r="2" spans="1:17">
      <c r="A2" s="48"/>
      <c r="B2" s="27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6" t="s">
        <v>12</v>
      </c>
      <c r="P2" s="25" t="s">
        <v>13</v>
      </c>
      <c r="Q2" s="55" t="s">
        <v>14</v>
      </c>
    </row>
    <row r="3" spans="1:17">
      <c r="A3" s="49" t="s">
        <v>15</v>
      </c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29"/>
      <c r="Q3" s="56"/>
    </row>
    <row r="4" spans="1:17">
      <c r="A4" s="49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56"/>
    </row>
    <row r="5" spans="1:17">
      <c r="A5" s="48" t="s">
        <v>16</v>
      </c>
      <c r="B5" s="27"/>
      <c r="C5" s="29">
        <f>13925+7209</f>
        <v>21134</v>
      </c>
      <c r="D5" s="29">
        <v>6615.46</v>
      </c>
      <c r="E5" s="29">
        <v>12305.29</v>
      </c>
      <c r="F5" s="29">
        <v>17239.439999999999</v>
      </c>
      <c r="G5" s="29">
        <v>11986.32</v>
      </c>
      <c r="H5" s="29"/>
      <c r="I5" s="29"/>
      <c r="J5" s="29"/>
      <c r="K5" s="29"/>
      <c r="L5" s="29"/>
      <c r="M5" s="29"/>
      <c r="N5" s="29"/>
      <c r="O5" s="30">
        <f>SUM(C5:N5)</f>
        <v>69280.510000000009</v>
      </c>
      <c r="P5" s="29">
        <v>152305</v>
      </c>
      <c r="Q5" s="56">
        <f t="shared" ref="Q5:Q11" si="0">O5/P5</f>
        <v>0.45488007616296255</v>
      </c>
    </row>
    <row r="6" spans="1:17">
      <c r="A6" s="48" t="s">
        <v>116</v>
      </c>
      <c r="B6" s="27"/>
      <c r="C6" s="29">
        <f>3958+657</f>
        <v>4615</v>
      </c>
      <c r="D6" s="29">
        <v>724.18</v>
      </c>
      <c r="E6" s="29">
        <v>225.49</v>
      </c>
      <c r="F6" s="29">
        <f>651.71-135</f>
        <v>516.71</v>
      </c>
      <c r="G6" s="29">
        <v>391.65</v>
      </c>
      <c r="H6" s="29"/>
      <c r="I6" s="29"/>
      <c r="J6" s="29"/>
      <c r="K6" s="29"/>
      <c r="L6" s="29"/>
      <c r="M6" s="29"/>
      <c r="N6" s="29"/>
      <c r="O6" s="30">
        <f t="shared" ref="O6:O10" si="1">SUM(C6:N6)</f>
        <v>6473.03</v>
      </c>
      <c r="P6" s="29">
        <v>4000</v>
      </c>
      <c r="Q6" s="56">
        <f t="shared" si="0"/>
        <v>1.6182574999999999</v>
      </c>
    </row>
    <row r="7" spans="1:17">
      <c r="A7" s="48" t="s">
        <v>18</v>
      </c>
      <c r="B7" s="27"/>
      <c r="C7" s="29">
        <v>0</v>
      </c>
      <c r="D7" s="29">
        <v>0</v>
      </c>
      <c r="E7" s="29">
        <v>0</v>
      </c>
      <c r="F7" s="29">
        <v>150</v>
      </c>
      <c r="G7" s="29">
        <v>0</v>
      </c>
      <c r="H7" s="29"/>
      <c r="I7" s="29"/>
      <c r="J7" s="29"/>
      <c r="K7" s="29"/>
      <c r="L7" s="29"/>
      <c r="M7" s="29"/>
      <c r="N7" s="29"/>
      <c r="O7" s="30">
        <f t="shared" si="1"/>
        <v>150</v>
      </c>
      <c r="P7" s="29">
        <v>20000</v>
      </c>
      <c r="Q7" s="56">
        <f t="shared" si="0"/>
        <v>7.4999999999999997E-3</v>
      </c>
    </row>
    <row r="8" spans="1:17">
      <c r="A8" s="48" t="s">
        <v>108</v>
      </c>
      <c r="B8" s="27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/>
      <c r="I8" s="29"/>
      <c r="J8" s="29"/>
      <c r="K8" s="29"/>
      <c r="L8" s="29"/>
      <c r="M8" s="29"/>
      <c r="N8" s="29"/>
      <c r="O8" s="30">
        <f t="shared" si="1"/>
        <v>0</v>
      </c>
      <c r="P8" s="29">
        <v>0</v>
      </c>
      <c r="Q8" s="56" t="e">
        <f t="shared" si="0"/>
        <v>#DIV/0!</v>
      </c>
    </row>
    <row r="9" spans="1:17">
      <c r="A9" s="48" t="s">
        <v>19</v>
      </c>
      <c r="B9" s="27"/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/>
      <c r="I9" s="29"/>
      <c r="J9" s="29"/>
      <c r="K9" s="29"/>
      <c r="L9" s="29"/>
      <c r="M9" s="29"/>
      <c r="N9" s="29"/>
      <c r="O9" s="30">
        <f t="shared" si="1"/>
        <v>0</v>
      </c>
      <c r="P9" s="29">
        <v>0</v>
      </c>
      <c r="Q9" s="56" t="e">
        <f t="shared" si="0"/>
        <v>#DIV/0!</v>
      </c>
    </row>
    <row r="10" spans="1:17">
      <c r="A10" s="48" t="s">
        <v>117</v>
      </c>
      <c r="B10" s="27"/>
      <c r="C10" s="29">
        <v>6374</v>
      </c>
      <c r="D10" s="29">
        <v>0</v>
      </c>
      <c r="E10" s="29">
        <v>0</v>
      </c>
      <c r="F10" s="29">
        <v>0</v>
      </c>
      <c r="G10" s="29">
        <v>0</v>
      </c>
      <c r="H10" s="29"/>
      <c r="I10" s="29"/>
      <c r="J10" s="29"/>
      <c r="K10" s="29"/>
      <c r="L10" s="29"/>
      <c r="M10" s="29"/>
      <c r="N10" s="29"/>
      <c r="O10" s="30">
        <f t="shared" si="1"/>
        <v>6374</v>
      </c>
      <c r="P10" s="29">
        <v>6374</v>
      </c>
      <c r="Q10" s="56">
        <f t="shared" si="0"/>
        <v>1</v>
      </c>
    </row>
    <row r="11" spans="1:17">
      <c r="A11" s="50" t="s">
        <v>21</v>
      </c>
      <c r="B11" s="27"/>
      <c r="C11" s="29">
        <f>SUM(C5:C10)</f>
        <v>32123</v>
      </c>
      <c r="D11" s="29">
        <f t="shared" ref="D11:O11" si="2">SUM(D5:D10)</f>
        <v>7339.64</v>
      </c>
      <c r="E11" s="29">
        <f t="shared" si="2"/>
        <v>12530.78</v>
      </c>
      <c r="F11" s="29">
        <f t="shared" si="2"/>
        <v>17906.149999999998</v>
      </c>
      <c r="G11" s="29">
        <f t="shared" si="2"/>
        <v>12377.97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0</v>
      </c>
      <c r="O11" s="26">
        <f t="shared" si="2"/>
        <v>82277.540000000008</v>
      </c>
      <c r="P11" s="25">
        <f>SUM(P5:P10)</f>
        <v>182679</v>
      </c>
      <c r="Q11" s="55">
        <f t="shared" si="0"/>
        <v>0.45039407923187674</v>
      </c>
    </row>
    <row r="12" spans="1:17">
      <c r="A12" s="48" t="s">
        <v>121</v>
      </c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5"/>
      <c r="Q12" s="55"/>
    </row>
    <row r="13" spans="1:17">
      <c r="A13" s="48"/>
      <c r="B13" s="2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9"/>
      <c r="Q13" s="56"/>
    </row>
    <row r="14" spans="1:17">
      <c r="A14" s="49" t="s">
        <v>22</v>
      </c>
      <c r="B14" s="2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6"/>
      <c r="P14" s="29"/>
      <c r="Q14" s="56"/>
    </row>
    <row r="15" spans="1:17">
      <c r="A15" s="48"/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6"/>
      <c r="P15" s="29"/>
      <c r="Q15" s="56"/>
    </row>
    <row r="16" spans="1:17">
      <c r="A16" s="49" t="s">
        <v>23</v>
      </c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  <c r="Q16" s="56"/>
    </row>
    <row r="17" spans="1:17">
      <c r="A17" s="48" t="s">
        <v>24</v>
      </c>
      <c r="B17" s="27"/>
      <c r="C17" s="29">
        <v>300.74</v>
      </c>
      <c r="D17" s="29">
        <v>164.91</v>
      </c>
      <c r="E17" s="29">
        <v>613.85</v>
      </c>
      <c r="F17" s="29">
        <v>97.98</v>
      </c>
      <c r="G17" s="29">
        <v>159.16999999999999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>
        <f t="shared" ref="O17:O24" si="3">SUM(C17:N17)</f>
        <v>1336.65</v>
      </c>
      <c r="P17" s="29">
        <v>3500</v>
      </c>
      <c r="Q17" s="56">
        <f t="shared" ref="Q17:Q24" si="4">O17/P17</f>
        <v>0.38190000000000002</v>
      </c>
    </row>
    <row r="18" spans="1:17">
      <c r="A18" s="48" t="s">
        <v>25</v>
      </c>
      <c r="B18" s="27"/>
      <c r="C18" s="29">
        <v>440</v>
      </c>
      <c r="D18" s="29">
        <v>0</v>
      </c>
      <c r="E18" s="29">
        <v>440</v>
      </c>
      <c r="F18" s="29">
        <v>440</v>
      </c>
      <c r="G18" s="29">
        <v>440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f t="shared" si="3"/>
        <v>1760</v>
      </c>
      <c r="P18" s="29">
        <v>4000</v>
      </c>
      <c r="Q18" s="56">
        <f t="shared" si="4"/>
        <v>0.44</v>
      </c>
    </row>
    <row r="19" spans="1:17">
      <c r="A19" s="48" t="s">
        <v>26</v>
      </c>
      <c r="B19" s="27"/>
      <c r="C19" s="29">
        <v>0</v>
      </c>
      <c r="D19" s="29">
        <v>0</v>
      </c>
      <c r="E19" s="29">
        <v>0</v>
      </c>
      <c r="F19" s="29">
        <v>0</v>
      </c>
      <c r="G19" s="29">
        <v>8021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>
        <f t="shared" si="3"/>
        <v>8021</v>
      </c>
      <c r="P19" s="29">
        <v>7680</v>
      </c>
      <c r="Q19" s="56">
        <f t="shared" si="4"/>
        <v>1.0444010416666667</v>
      </c>
    </row>
    <row r="20" spans="1:17">
      <c r="A20" s="48" t="s">
        <v>27</v>
      </c>
      <c r="B20" s="27"/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0">
        <f t="shared" si="3"/>
        <v>0</v>
      </c>
      <c r="P20" s="29">
        <v>8925</v>
      </c>
      <c r="Q20" s="56">
        <f t="shared" si="4"/>
        <v>0</v>
      </c>
    </row>
    <row r="21" spans="1:17">
      <c r="A21" s="51" t="s">
        <v>111</v>
      </c>
      <c r="B21" s="27"/>
      <c r="C21" s="29">
        <v>369.99</v>
      </c>
      <c r="D21" s="29">
        <v>551.70000000000005</v>
      </c>
      <c r="E21" s="29">
        <v>679.96</v>
      </c>
      <c r="F21" s="29">
        <v>569.84</v>
      </c>
      <c r="G21" s="29">
        <v>473.03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>
        <f t="shared" si="3"/>
        <v>2644.5200000000004</v>
      </c>
      <c r="P21" s="29">
        <v>3644</v>
      </c>
      <c r="Q21" s="56">
        <f t="shared" si="4"/>
        <v>0.72571899012074659</v>
      </c>
    </row>
    <row r="22" spans="1:17">
      <c r="A22" s="48" t="s">
        <v>28</v>
      </c>
      <c r="B22" s="27"/>
      <c r="C22" s="29">
        <v>261.74</v>
      </c>
      <c r="D22" s="29">
        <v>249.83</v>
      </c>
      <c r="E22" s="29">
        <v>257.77</v>
      </c>
      <c r="F22" s="29">
        <v>313.77</v>
      </c>
      <c r="G22" s="29">
        <v>307.04000000000002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>
        <f t="shared" si="3"/>
        <v>1390.15</v>
      </c>
      <c r="P22" s="29">
        <v>4725</v>
      </c>
      <c r="Q22" s="56">
        <f t="shared" si="4"/>
        <v>0.29421164021164026</v>
      </c>
    </row>
    <row r="23" spans="1:17">
      <c r="A23" s="48" t="s">
        <v>29</v>
      </c>
      <c r="B23" s="27"/>
      <c r="C23" s="29">
        <v>0</v>
      </c>
      <c r="D23" s="29">
        <v>61.05</v>
      </c>
      <c r="E23" s="29">
        <v>61.05</v>
      </c>
      <c r="F23" s="29">
        <v>61.05</v>
      </c>
      <c r="G23" s="29">
        <v>61.05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>
        <f t="shared" si="3"/>
        <v>244.2</v>
      </c>
      <c r="P23" s="29">
        <v>1365</v>
      </c>
      <c r="Q23" s="56">
        <f t="shared" si="4"/>
        <v>0.1789010989010989</v>
      </c>
    </row>
    <row r="24" spans="1:17">
      <c r="A24" s="48" t="s">
        <v>30</v>
      </c>
      <c r="B24" s="27"/>
      <c r="C24" s="29">
        <v>26.96</v>
      </c>
      <c r="D24" s="29">
        <v>220.75</v>
      </c>
      <c r="E24" s="29">
        <v>65.849999999999994</v>
      </c>
      <c r="F24" s="29">
        <v>209.9</v>
      </c>
      <c r="G24" s="29">
        <v>160.81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0">
        <f t="shared" si="3"/>
        <v>684.27</v>
      </c>
      <c r="P24" s="29">
        <v>1000</v>
      </c>
      <c r="Q24" s="56">
        <f t="shared" si="4"/>
        <v>0.68426999999999993</v>
      </c>
    </row>
    <row r="25" spans="1:17">
      <c r="A25" s="48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56"/>
    </row>
    <row r="26" spans="1:17">
      <c r="A26" s="49" t="s">
        <v>31</v>
      </c>
      <c r="B26" s="27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/>
      <c r="P26" s="29"/>
      <c r="Q26" s="56"/>
    </row>
    <row r="27" spans="1:17">
      <c r="A27" s="48" t="s">
        <v>32</v>
      </c>
      <c r="B27" s="27"/>
      <c r="C27" s="29">
        <v>66.400000000000006</v>
      </c>
      <c r="D27" s="29">
        <v>108.65</v>
      </c>
      <c r="E27" s="29">
        <v>296.36</v>
      </c>
      <c r="F27" s="29">
        <v>125.91</v>
      </c>
      <c r="G27" s="29">
        <v>350.8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0">
        <f>SUM(C27:N27)</f>
        <v>948.12000000000012</v>
      </c>
      <c r="P27" s="29">
        <v>3700</v>
      </c>
      <c r="Q27" s="56">
        <f>O27/P27</f>
        <v>0.25624864864864866</v>
      </c>
    </row>
    <row r="28" spans="1:17">
      <c r="A28" s="48" t="s">
        <v>33</v>
      </c>
      <c r="B28" s="27"/>
      <c r="C28" s="29">
        <v>365.46</v>
      </c>
      <c r="D28" s="29">
        <v>525</v>
      </c>
      <c r="E28" s="29">
        <v>0</v>
      </c>
      <c r="F28" s="29">
        <v>100</v>
      </c>
      <c r="G28" s="29">
        <v>334.82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f>SUM(C28:N28)</f>
        <v>1325.28</v>
      </c>
      <c r="P28" s="29">
        <v>3100</v>
      </c>
      <c r="Q28" s="56">
        <f>O28/P28</f>
        <v>0.42750967741935481</v>
      </c>
    </row>
    <row r="29" spans="1:17">
      <c r="A29" s="48" t="s">
        <v>34</v>
      </c>
      <c r="B29" s="27"/>
      <c r="C29" s="29">
        <v>0</v>
      </c>
      <c r="D29" s="29">
        <v>75</v>
      </c>
      <c r="E29" s="29">
        <v>160.19999999999999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>
        <f>SUM(C29:N29)</f>
        <v>235.2</v>
      </c>
      <c r="P29" s="29">
        <v>1714</v>
      </c>
      <c r="Q29" s="56">
        <f>O29/P29</f>
        <v>0.13722287047841306</v>
      </c>
    </row>
    <row r="30" spans="1:17">
      <c r="A30" s="67" t="s">
        <v>35</v>
      </c>
      <c r="B30" s="68"/>
      <c r="C30" s="29">
        <v>0</v>
      </c>
      <c r="D30" s="29">
        <v>0</v>
      </c>
      <c r="E30" s="29">
        <v>0</v>
      </c>
      <c r="F30" s="29">
        <v>0</v>
      </c>
      <c r="G30" s="29">
        <v>100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f>SUM(C30:N30)</f>
        <v>100</v>
      </c>
      <c r="P30" s="29">
        <v>100</v>
      </c>
      <c r="Q30" s="56">
        <f>O30/P30</f>
        <v>1</v>
      </c>
    </row>
    <row r="31" spans="1:17">
      <c r="A31" s="48"/>
      <c r="B31" s="2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29"/>
      <c r="Q31" s="56"/>
    </row>
    <row r="32" spans="1:17">
      <c r="A32" s="49" t="s">
        <v>36</v>
      </c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29"/>
      <c r="Q32" s="56"/>
    </row>
    <row r="33" spans="1:17">
      <c r="A33" s="48" t="s">
        <v>37</v>
      </c>
      <c r="B33" s="27"/>
      <c r="C33" s="29">
        <v>73.510000000000005</v>
      </c>
      <c r="D33" s="29">
        <v>0</v>
      </c>
      <c r="E33" s="29">
        <v>162</v>
      </c>
      <c r="F33" s="29">
        <v>-135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0">
        <f>SUM(C33:N33)</f>
        <v>100.50999999999999</v>
      </c>
      <c r="P33" s="29">
        <v>300</v>
      </c>
      <c r="Q33" s="56">
        <f>O33/P33</f>
        <v>0.33503333333333329</v>
      </c>
    </row>
    <row r="34" spans="1:17">
      <c r="A34" s="48" t="s">
        <v>38</v>
      </c>
      <c r="B34" s="27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f>SUM(C34:N34)</f>
        <v>0</v>
      </c>
      <c r="P34" s="29">
        <v>200</v>
      </c>
      <c r="Q34" s="56">
        <f>O34/P34</f>
        <v>0</v>
      </c>
    </row>
    <row r="35" spans="1:17">
      <c r="A35" s="48" t="s">
        <v>39</v>
      </c>
      <c r="B35" s="27"/>
      <c r="C35" s="29">
        <v>0</v>
      </c>
      <c r="D35" s="29">
        <v>59.62</v>
      </c>
      <c r="E35" s="29">
        <v>0</v>
      </c>
      <c r="F35" s="29">
        <v>55.98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f>SUM(C35:N35)</f>
        <v>115.6</v>
      </c>
      <c r="P35" s="29">
        <v>900</v>
      </c>
      <c r="Q35" s="56">
        <f>O35/P35</f>
        <v>0.12844444444444444</v>
      </c>
    </row>
    <row r="36" spans="1:17">
      <c r="A36" s="48" t="s">
        <v>103</v>
      </c>
      <c r="B36" s="27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f>SUM(C36:N36)</f>
        <v>0</v>
      </c>
      <c r="P36" s="29">
        <v>120</v>
      </c>
      <c r="Q36" s="56">
        <f>O36/P36</f>
        <v>0</v>
      </c>
    </row>
    <row r="37" spans="1:17">
      <c r="A37" s="48"/>
      <c r="B37" s="2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33"/>
      <c r="Q37" s="56"/>
    </row>
    <row r="38" spans="1:17">
      <c r="A38" s="49" t="s">
        <v>40</v>
      </c>
      <c r="B38" s="27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29"/>
      <c r="Q38" s="56"/>
    </row>
    <row r="39" spans="1:17">
      <c r="A39" s="67" t="s">
        <v>41</v>
      </c>
      <c r="B39" s="68"/>
      <c r="C39" s="29">
        <v>0</v>
      </c>
      <c r="D39" s="29">
        <v>0</v>
      </c>
      <c r="E39" s="29">
        <v>0</v>
      </c>
      <c r="F39" s="29">
        <v>350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f>SUM(C39:N39)</f>
        <v>350</v>
      </c>
      <c r="P39" s="29">
        <v>500</v>
      </c>
      <c r="Q39" s="56">
        <f>O39/P39</f>
        <v>0.7</v>
      </c>
    </row>
    <row r="40" spans="1:17">
      <c r="A40" s="67" t="s">
        <v>42</v>
      </c>
      <c r="B40" s="68"/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30">
        <f>SUM(C40:N40)</f>
        <v>0</v>
      </c>
      <c r="P40" s="29">
        <v>1000</v>
      </c>
      <c r="Q40" s="56">
        <f>O40/P40</f>
        <v>0</v>
      </c>
    </row>
    <row r="41" spans="1:17">
      <c r="A41" s="67" t="s">
        <v>43</v>
      </c>
      <c r="B41" s="68"/>
      <c r="C41" s="29">
        <v>109.74</v>
      </c>
      <c r="D41" s="29">
        <v>109.63</v>
      </c>
      <c r="E41" s="29">
        <v>154.13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0">
        <f>SUM(C41:N41)</f>
        <v>373.5</v>
      </c>
      <c r="P41" s="29">
        <v>850</v>
      </c>
      <c r="Q41" s="56">
        <f>O41/P41</f>
        <v>0.43941176470588234</v>
      </c>
    </row>
    <row r="42" spans="1:17">
      <c r="A42" s="48" t="s">
        <v>44</v>
      </c>
      <c r="B42" s="27"/>
      <c r="C42" s="29">
        <v>0</v>
      </c>
      <c r="D42" s="29">
        <v>0</v>
      </c>
      <c r="E42" s="29">
        <v>2600</v>
      </c>
      <c r="F42" s="29">
        <v>0</v>
      </c>
      <c r="G42" s="29">
        <v>2600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30">
        <f>SUM(C42:N42)</f>
        <v>5200</v>
      </c>
      <c r="P42" s="29">
        <v>10417</v>
      </c>
      <c r="Q42" s="56">
        <f>O42/P42</f>
        <v>0.49918402611116447</v>
      </c>
    </row>
    <row r="43" spans="1:17">
      <c r="A43" s="48"/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29"/>
      <c r="Q43" s="56"/>
    </row>
    <row r="44" spans="1:17">
      <c r="A44" s="48"/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29"/>
      <c r="Q44" s="56"/>
    </row>
    <row r="45" spans="1:17">
      <c r="A45" s="48"/>
      <c r="B45" s="27"/>
      <c r="C45" s="25" t="s">
        <v>0</v>
      </c>
      <c r="D45" s="25" t="s">
        <v>1</v>
      </c>
      <c r="E45" s="25" t="s">
        <v>2</v>
      </c>
      <c r="F45" s="25" t="s">
        <v>3</v>
      </c>
      <c r="G45" s="25" t="s">
        <v>4</v>
      </c>
      <c r="H45" s="25" t="s">
        <v>5</v>
      </c>
      <c r="I45" s="25" t="s">
        <v>6</v>
      </c>
      <c r="J45" s="25" t="s">
        <v>7</v>
      </c>
      <c r="K45" s="25" t="s">
        <v>8</v>
      </c>
      <c r="L45" s="25" t="s">
        <v>9</v>
      </c>
      <c r="M45" s="25" t="s">
        <v>10</v>
      </c>
      <c r="N45" s="25" t="s">
        <v>11</v>
      </c>
      <c r="O45" s="26" t="s">
        <v>12</v>
      </c>
      <c r="P45" s="25" t="s">
        <v>13</v>
      </c>
      <c r="Q45" s="55" t="s">
        <v>14</v>
      </c>
    </row>
    <row r="46" spans="1:17">
      <c r="A46" s="49" t="s">
        <v>45</v>
      </c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29"/>
      <c r="Q46" s="56"/>
    </row>
    <row r="47" spans="1:17">
      <c r="A47" s="49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24"/>
      <c r="Q47" s="57"/>
    </row>
    <row r="48" spans="1:17">
      <c r="A48" s="67" t="s">
        <v>46</v>
      </c>
      <c r="B48" s="68"/>
      <c r="C48" s="29">
        <v>500</v>
      </c>
      <c r="D48" s="29">
        <v>1613.82</v>
      </c>
      <c r="E48" s="29">
        <v>965.35</v>
      </c>
      <c r="F48" s="29">
        <v>1038.94</v>
      </c>
      <c r="G48" s="29">
        <v>1543.12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0">
        <f t="shared" ref="O48:O54" si="5">SUM(C48:N48)</f>
        <v>5661.23</v>
      </c>
      <c r="P48" s="29">
        <v>15832</v>
      </c>
      <c r="Q48" s="56">
        <f t="shared" ref="Q48:Q52" si="6">O48/P48</f>
        <v>0.35758148054573013</v>
      </c>
    </row>
    <row r="49" spans="1:17">
      <c r="A49" s="67" t="s">
        <v>47</v>
      </c>
      <c r="B49" s="68"/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0">
        <f t="shared" si="5"/>
        <v>0</v>
      </c>
      <c r="P49" s="29">
        <v>1500</v>
      </c>
      <c r="Q49" s="56">
        <f t="shared" si="6"/>
        <v>0</v>
      </c>
    </row>
    <row r="50" spans="1:17">
      <c r="A50" s="67" t="s">
        <v>48</v>
      </c>
      <c r="B50" s="68"/>
      <c r="C50" s="29">
        <v>0</v>
      </c>
      <c r="D50" s="29">
        <v>1009.12</v>
      </c>
      <c r="E50" s="29">
        <v>686.04</v>
      </c>
      <c r="F50" s="29">
        <v>686.04</v>
      </c>
      <c r="G50" s="29">
        <v>1027.02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f t="shared" si="5"/>
        <v>3408.22</v>
      </c>
      <c r="P50" s="29">
        <v>9597</v>
      </c>
      <c r="Q50" s="56">
        <f t="shared" si="6"/>
        <v>0.3551338960091695</v>
      </c>
    </row>
    <row r="51" spans="1:17">
      <c r="A51" s="48" t="s">
        <v>49</v>
      </c>
      <c r="B51" s="27"/>
      <c r="C51" s="29">
        <v>0</v>
      </c>
      <c r="D51" s="29">
        <v>392.41</v>
      </c>
      <c r="E51" s="29">
        <v>415.58</v>
      </c>
      <c r="F51" s="29">
        <v>332.46</v>
      </c>
      <c r="G51" s="29">
        <v>497.7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0">
        <f t="shared" si="5"/>
        <v>1638.15</v>
      </c>
      <c r="P51" s="29">
        <v>4844</v>
      </c>
      <c r="Q51" s="56">
        <f t="shared" si="6"/>
        <v>0.33818125516102399</v>
      </c>
    </row>
    <row r="52" spans="1:17">
      <c r="A52" s="48" t="s">
        <v>50</v>
      </c>
      <c r="B52" s="27"/>
      <c r="C52" s="29">
        <v>380.94</v>
      </c>
      <c r="D52" s="29">
        <v>558.15</v>
      </c>
      <c r="E52" s="29">
        <v>494.08</v>
      </c>
      <c r="F52" s="29">
        <v>238.39</v>
      </c>
      <c r="G52" s="29">
        <v>789.07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0">
        <f t="shared" si="5"/>
        <v>2460.63</v>
      </c>
      <c r="P52" s="29">
        <v>7966</v>
      </c>
      <c r="Q52" s="56">
        <f t="shared" si="6"/>
        <v>0.30889153904092392</v>
      </c>
    </row>
    <row r="53" spans="1:17">
      <c r="A53" s="67" t="s">
        <v>51</v>
      </c>
      <c r="B53" s="68"/>
      <c r="C53" s="29">
        <v>0</v>
      </c>
      <c r="D53" s="29">
        <v>915.96</v>
      </c>
      <c r="E53" s="29">
        <v>607.4</v>
      </c>
      <c r="F53" s="29">
        <v>701.41</v>
      </c>
      <c r="G53" s="29">
        <v>830.83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30">
        <f t="shared" si="5"/>
        <v>3055.6</v>
      </c>
      <c r="P53" s="33">
        <v>10578</v>
      </c>
      <c r="Q53" s="56">
        <f>O53/P53</f>
        <v>0.28886367933446777</v>
      </c>
    </row>
    <row r="54" spans="1:17">
      <c r="A54" s="48" t="s">
        <v>104</v>
      </c>
      <c r="B54" s="27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30">
        <f t="shared" si="5"/>
        <v>0</v>
      </c>
      <c r="P54" s="29">
        <v>1000</v>
      </c>
      <c r="Q54" s="56">
        <f>O54/P54</f>
        <v>0</v>
      </c>
    </row>
    <row r="55" spans="1:17">
      <c r="A55" s="48"/>
      <c r="B55" s="2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27"/>
      <c r="Q55" s="56"/>
    </row>
    <row r="56" spans="1:17">
      <c r="A56" s="49" t="s">
        <v>52</v>
      </c>
      <c r="B56" s="27"/>
      <c r="C56" s="26">
        <f t="shared" ref="C56:N56" si="7">SUM(C57:C60)</f>
        <v>6127.4</v>
      </c>
      <c r="D56" s="26">
        <f t="shared" si="7"/>
        <v>8882.02</v>
      </c>
      <c r="E56" s="26">
        <f t="shared" si="7"/>
        <v>6087.62</v>
      </c>
      <c r="F56" s="26">
        <f t="shared" si="7"/>
        <v>5167.62</v>
      </c>
      <c r="G56" s="26">
        <f t="shared" si="7"/>
        <v>7373.7</v>
      </c>
      <c r="H56" s="26">
        <f t="shared" si="7"/>
        <v>0</v>
      </c>
      <c r="I56" s="26">
        <f t="shared" si="7"/>
        <v>0</v>
      </c>
      <c r="J56" s="26">
        <f t="shared" si="7"/>
        <v>0</v>
      </c>
      <c r="K56" s="26">
        <f t="shared" si="7"/>
        <v>0</v>
      </c>
      <c r="L56" s="26">
        <f t="shared" si="7"/>
        <v>0</v>
      </c>
      <c r="M56" s="26">
        <f t="shared" si="7"/>
        <v>0</v>
      </c>
      <c r="N56" s="26">
        <f t="shared" si="7"/>
        <v>0</v>
      </c>
      <c r="O56" s="26">
        <f>SUM(O57:O60)</f>
        <v>33638.36</v>
      </c>
      <c r="P56" s="25">
        <f>SUM(P57:P60)</f>
        <v>73621</v>
      </c>
      <c r="Q56" s="56">
        <f>(O57+O58+O59+O60)/P56</f>
        <v>0.45691256570815392</v>
      </c>
    </row>
    <row r="57" spans="1:17">
      <c r="A57" s="51" t="s">
        <v>53</v>
      </c>
      <c r="B57" s="27"/>
      <c r="C57" s="29">
        <v>4490.1400000000003</v>
      </c>
      <c r="D57" s="29">
        <v>4524.99</v>
      </c>
      <c r="E57" s="29">
        <v>4524.99</v>
      </c>
      <c r="F57" s="29">
        <v>4524.99</v>
      </c>
      <c r="G57" s="29">
        <v>6741.78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30">
        <f>SUM(C57:N57)</f>
        <v>24806.89</v>
      </c>
      <c r="P57" s="29">
        <v>59038</v>
      </c>
      <c r="Q57" s="56"/>
    </row>
    <row r="58" spans="1:17">
      <c r="A58" s="48" t="s">
        <v>54</v>
      </c>
      <c r="B58" s="27"/>
      <c r="C58" s="29">
        <v>171.2</v>
      </c>
      <c r="D58" s="29">
        <v>0</v>
      </c>
      <c r="E58" s="29">
        <v>85.6</v>
      </c>
      <c r="F58" s="29">
        <v>85.6</v>
      </c>
      <c r="G58" s="29">
        <v>85.6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30">
        <f>SUM(C58:N58)</f>
        <v>428</v>
      </c>
      <c r="P58" s="29">
        <v>1099</v>
      </c>
      <c r="Q58" s="56"/>
    </row>
    <row r="59" spans="1:17">
      <c r="A59" s="48" t="s">
        <v>55</v>
      </c>
      <c r="B59" s="27"/>
      <c r="C59" s="29">
        <v>428</v>
      </c>
      <c r="D59" s="29">
        <v>457.03</v>
      </c>
      <c r="E59" s="29">
        <v>457.03</v>
      </c>
      <c r="F59" s="29">
        <v>457.03</v>
      </c>
      <c r="G59" s="29">
        <v>457.03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0">
        <f>SUM(C59:N59)</f>
        <v>2256.12</v>
      </c>
      <c r="P59" s="29">
        <v>5484</v>
      </c>
      <c r="Q59" s="56"/>
    </row>
    <row r="60" spans="1:17">
      <c r="A60" s="48" t="s">
        <v>56</v>
      </c>
      <c r="B60" s="27"/>
      <c r="C60" s="29">
        <v>1038.06</v>
      </c>
      <c r="D60" s="29">
        <v>3900</v>
      </c>
      <c r="E60" s="29">
        <v>1020</v>
      </c>
      <c r="F60" s="29">
        <v>100</v>
      </c>
      <c r="G60" s="29">
        <v>89.29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0">
        <f>SUM(C60:N60)</f>
        <v>6147.3499999999995</v>
      </c>
      <c r="P60" s="29">
        <v>8000</v>
      </c>
      <c r="Q60" s="56"/>
    </row>
    <row r="61" spans="1:17">
      <c r="A61" s="48"/>
      <c r="B61" s="27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29"/>
      <c r="Q61" s="56"/>
    </row>
    <row r="62" spans="1:17">
      <c r="A62" s="50" t="s">
        <v>57</v>
      </c>
      <c r="B62" s="27"/>
      <c r="C62" s="25">
        <f>SUM(C17:C54,C56)</f>
        <v>9022.8799999999992</v>
      </c>
      <c r="D62" s="25">
        <f t="shared" ref="D62:O62" si="8">SUM(D17:D54,D56)</f>
        <v>15497.619999999999</v>
      </c>
      <c r="E62" s="25">
        <f t="shared" si="8"/>
        <v>14747.240000000002</v>
      </c>
      <c r="F62" s="25">
        <f t="shared" si="8"/>
        <v>10354.290000000001</v>
      </c>
      <c r="G62" s="25">
        <f t="shared" si="8"/>
        <v>25069.160000000003</v>
      </c>
      <c r="H62" s="25">
        <f t="shared" si="8"/>
        <v>0</v>
      </c>
      <c r="I62" s="25">
        <f t="shared" si="8"/>
        <v>0</v>
      </c>
      <c r="J62" s="25">
        <f t="shared" si="8"/>
        <v>0</v>
      </c>
      <c r="K62" s="25">
        <f t="shared" si="8"/>
        <v>0</v>
      </c>
      <c r="L62" s="25">
        <f t="shared" si="8"/>
        <v>0</v>
      </c>
      <c r="M62" s="25">
        <f t="shared" si="8"/>
        <v>0</v>
      </c>
      <c r="N62" s="25">
        <f t="shared" si="8"/>
        <v>0</v>
      </c>
      <c r="O62" s="25">
        <f t="shared" si="8"/>
        <v>74691.19</v>
      </c>
      <c r="P62" s="25">
        <f>SUM(P17:P54,P56)</f>
        <v>182678</v>
      </c>
      <c r="Q62" s="55">
        <f>O62/P62</f>
        <v>0.40886800818927294</v>
      </c>
    </row>
    <row r="63" spans="1:17">
      <c r="A63" s="50" t="s">
        <v>58</v>
      </c>
      <c r="B63" s="32"/>
      <c r="C63" s="29">
        <f t="shared" ref="C63:O63" si="9">C11-C62</f>
        <v>23100.120000000003</v>
      </c>
      <c r="D63" s="29">
        <f t="shared" si="9"/>
        <v>-8157.9799999999987</v>
      </c>
      <c r="E63" s="29">
        <f t="shared" si="9"/>
        <v>-2216.4600000000009</v>
      </c>
      <c r="F63" s="29">
        <f t="shared" si="9"/>
        <v>7551.8599999999969</v>
      </c>
      <c r="G63" s="29">
        <f t="shared" si="9"/>
        <v>-12691.190000000004</v>
      </c>
      <c r="H63" s="29">
        <f t="shared" si="9"/>
        <v>0</v>
      </c>
      <c r="I63" s="29">
        <f t="shared" si="9"/>
        <v>0</v>
      </c>
      <c r="J63" s="29">
        <f t="shared" si="9"/>
        <v>0</v>
      </c>
      <c r="K63" s="29">
        <f t="shared" si="9"/>
        <v>0</v>
      </c>
      <c r="L63" s="29">
        <f t="shared" si="9"/>
        <v>0</v>
      </c>
      <c r="M63" s="29">
        <f t="shared" si="9"/>
        <v>0</v>
      </c>
      <c r="N63" s="29">
        <f t="shared" si="9"/>
        <v>0</v>
      </c>
      <c r="O63" s="26">
        <f t="shared" si="9"/>
        <v>7586.3500000000058</v>
      </c>
      <c r="P63" s="29"/>
      <c r="Q63" s="56"/>
    </row>
    <row r="64" spans="1:17">
      <c r="A64" s="50"/>
      <c r="B64" s="3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6"/>
      <c r="P64" s="29"/>
      <c r="Q64" s="56"/>
    </row>
    <row r="65" spans="1:17">
      <c r="A65" s="49" t="s">
        <v>114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9"/>
      <c r="Q65" s="56"/>
    </row>
    <row r="66" spans="1:17" ht="14.4">
      <c r="A66" s="48"/>
      <c r="B66" s="35"/>
      <c r="C66" s="25" t="s">
        <v>11</v>
      </c>
      <c r="D66" s="25" t="s">
        <v>0</v>
      </c>
      <c r="E66" s="25" t="s">
        <v>1</v>
      </c>
      <c r="F66" s="25" t="s">
        <v>2</v>
      </c>
      <c r="G66" s="25" t="s">
        <v>3</v>
      </c>
      <c r="H66" s="25" t="s">
        <v>4</v>
      </c>
      <c r="I66" s="25" t="s">
        <v>5</v>
      </c>
      <c r="J66" s="25" t="s">
        <v>6</v>
      </c>
      <c r="K66" s="25" t="s">
        <v>7</v>
      </c>
      <c r="L66" s="25" t="s">
        <v>8</v>
      </c>
      <c r="M66" s="25" t="s">
        <v>9</v>
      </c>
      <c r="N66" s="25" t="s">
        <v>10</v>
      </c>
      <c r="O66" s="25" t="s">
        <v>11</v>
      </c>
      <c r="P66" s="29"/>
      <c r="Q66" s="56"/>
    </row>
    <row r="67" spans="1:17" ht="14.4">
      <c r="A67" s="49" t="s">
        <v>60</v>
      </c>
      <c r="B67" s="3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  <c r="P67" s="29"/>
      <c r="Q67" s="56"/>
    </row>
    <row r="68" spans="1:17">
      <c r="A68" s="48" t="s">
        <v>109</v>
      </c>
      <c r="B68" s="27"/>
      <c r="C68" s="29">
        <v>148943.37</v>
      </c>
      <c r="D68" s="29">
        <v>131055.91</v>
      </c>
      <c r="E68" s="29">
        <v>125491.4</v>
      </c>
      <c r="F68" s="29">
        <v>115213.96</v>
      </c>
      <c r="G68" s="29">
        <v>119879.77</v>
      </c>
      <c r="H68" s="29">
        <v>102828.16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/>
      <c r="Q68" s="56"/>
    </row>
    <row r="69" spans="1:17">
      <c r="A69" s="48" t="s">
        <v>110</v>
      </c>
      <c r="B69" s="27"/>
      <c r="C69" s="29">
        <v>2984.02</v>
      </c>
      <c r="D69" s="29">
        <v>2984</v>
      </c>
      <c r="E69" s="29">
        <v>2986.5</v>
      </c>
      <c r="F69" s="29">
        <v>2987.76</v>
      </c>
      <c r="G69" s="29">
        <v>2988.98</v>
      </c>
      <c r="H69" s="29">
        <v>2990.24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/>
      <c r="Q69" s="56"/>
    </row>
    <row r="70" spans="1:17">
      <c r="A70" s="48" t="s">
        <v>61</v>
      </c>
      <c r="B70" s="27"/>
      <c r="C70" s="29">
        <v>74040.31</v>
      </c>
      <c r="D70" s="29">
        <v>75502.91</v>
      </c>
      <c r="E70" s="29">
        <v>77117.47</v>
      </c>
      <c r="F70" s="29">
        <v>75925.070000000007</v>
      </c>
      <c r="G70" s="29">
        <v>73123.850000000006</v>
      </c>
      <c r="H70" s="29">
        <v>72196.92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/>
      <c r="Q70" s="56"/>
    </row>
    <row r="71" spans="1:17">
      <c r="A71" s="50" t="s">
        <v>62</v>
      </c>
      <c r="B71" s="36"/>
      <c r="C71" s="25">
        <f t="shared" ref="C71:O71" si="10">SUM(C68:C70)</f>
        <v>225967.69999999998</v>
      </c>
      <c r="D71" s="25">
        <f t="shared" si="10"/>
        <v>209542.82</v>
      </c>
      <c r="E71" s="25">
        <f t="shared" si="10"/>
        <v>205595.37</v>
      </c>
      <c r="F71" s="25">
        <f t="shared" si="10"/>
        <v>194126.79</v>
      </c>
      <c r="G71" s="25">
        <f>SUM(G68:G70)</f>
        <v>195992.6</v>
      </c>
      <c r="H71" s="25">
        <f t="shared" si="10"/>
        <v>178015.32</v>
      </c>
      <c r="I71" s="25">
        <f t="shared" si="10"/>
        <v>0</v>
      </c>
      <c r="J71" s="25">
        <f t="shared" si="10"/>
        <v>0</v>
      </c>
      <c r="K71" s="25">
        <f t="shared" si="10"/>
        <v>0</v>
      </c>
      <c r="L71" s="25">
        <f t="shared" si="10"/>
        <v>0</v>
      </c>
      <c r="M71" s="25">
        <f t="shared" si="10"/>
        <v>0</v>
      </c>
      <c r="N71" s="25">
        <f t="shared" si="10"/>
        <v>0</v>
      </c>
      <c r="O71" s="26">
        <f t="shared" si="10"/>
        <v>0</v>
      </c>
      <c r="P71" s="29"/>
      <c r="Q71" s="56"/>
    </row>
    <row r="72" spans="1:17">
      <c r="A72" s="48"/>
      <c r="B72" s="2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29"/>
      <c r="Q72" s="56"/>
    </row>
    <row r="73" spans="1:17">
      <c r="A73" s="48"/>
      <c r="B73" s="2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  <c r="P73" s="29"/>
      <c r="Q73" s="56"/>
    </row>
    <row r="74" spans="1:17">
      <c r="A74" s="49" t="s">
        <v>66</v>
      </c>
      <c r="B74" s="2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  <c r="P74" s="29"/>
      <c r="Q74" s="56"/>
    </row>
    <row r="75" spans="1:17">
      <c r="A75" s="48" t="s">
        <v>67</v>
      </c>
      <c r="B75" s="27"/>
      <c r="C75" s="30">
        <f t="shared" ref="C75" si="11">C71</f>
        <v>225967.69999999998</v>
      </c>
      <c r="D75" s="29">
        <f>D71</f>
        <v>209542.82</v>
      </c>
      <c r="E75" s="29">
        <f t="shared" ref="E75:O75" si="12">E71</f>
        <v>205595.37</v>
      </c>
      <c r="F75" s="29">
        <f t="shared" si="12"/>
        <v>194126.79</v>
      </c>
      <c r="G75" s="29">
        <f t="shared" si="12"/>
        <v>195992.6</v>
      </c>
      <c r="H75" s="29">
        <f t="shared" si="12"/>
        <v>178015.32</v>
      </c>
      <c r="I75" s="29">
        <f t="shared" si="12"/>
        <v>0</v>
      </c>
      <c r="J75" s="29">
        <f t="shared" si="12"/>
        <v>0</v>
      </c>
      <c r="K75" s="29">
        <f t="shared" si="12"/>
        <v>0</v>
      </c>
      <c r="L75" s="29">
        <f t="shared" si="12"/>
        <v>0</v>
      </c>
      <c r="M75" s="29">
        <f t="shared" si="12"/>
        <v>0</v>
      </c>
      <c r="N75" s="29">
        <f t="shared" si="12"/>
        <v>0</v>
      </c>
      <c r="O75" s="29">
        <f t="shared" si="12"/>
        <v>0</v>
      </c>
      <c r="P75" s="29"/>
      <c r="Q75" s="56"/>
    </row>
    <row r="76" spans="1:17">
      <c r="A76" s="48" t="s">
        <v>68</v>
      </c>
      <c r="B76" s="27"/>
      <c r="C76" s="30">
        <f t="shared" ref="C76" si="13">C101</f>
        <v>95286</v>
      </c>
      <c r="D76" s="29">
        <f>D101</f>
        <v>93807.53</v>
      </c>
      <c r="E76" s="29">
        <f t="shared" ref="E76:O76" si="14">E101</f>
        <v>93602.05</v>
      </c>
      <c r="F76" s="29">
        <f t="shared" si="14"/>
        <v>83844.86</v>
      </c>
      <c r="G76" s="29">
        <f t="shared" si="14"/>
        <v>79298.19</v>
      </c>
      <c r="H76" s="29">
        <f t="shared" si="14"/>
        <v>79298.19</v>
      </c>
      <c r="I76" s="29" t="e">
        <f t="shared" si="14"/>
        <v>#VALUE!</v>
      </c>
      <c r="J76" s="29" t="e">
        <f t="shared" si="14"/>
        <v>#VALUE!</v>
      </c>
      <c r="K76" s="29" t="e">
        <f t="shared" si="14"/>
        <v>#VALUE!</v>
      </c>
      <c r="L76" s="29" t="e">
        <f t="shared" si="14"/>
        <v>#VALUE!</v>
      </c>
      <c r="M76" s="29" t="e">
        <f t="shared" si="14"/>
        <v>#VALUE!</v>
      </c>
      <c r="N76" s="29" t="e">
        <f t="shared" si="14"/>
        <v>#VALUE!</v>
      </c>
      <c r="O76" s="29" t="e">
        <f t="shared" si="14"/>
        <v>#VALUE!</v>
      </c>
      <c r="P76" s="27"/>
      <c r="Q76" s="58"/>
    </row>
    <row r="77" spans="1:17">
      <c r="A77" s="48" t="s">
        <v>69</v>
      </c>
      <c r="B77" s="27"/>
      <c r="C77" s="30">
        <f t="shared" ref="C77" si="15">C165</f>
        <v>10470</v>
      </c>
      <c r="D77" s="29">
        <f>D165</f>
        <v>10476.129999999999</v>
      </c>
      <c r="E77" s="29">
        <f t="shared" ref="E77:O77" si="16">E165</f>
        <v>10844.63</v>
      </c>
      <c r="F77" s="29">
        <f t="shared" si="16"/>
        <v>10662.66</v>
      </c>
      <c r="G77" s="29">
        <f t="shared" si="16"/>
        <v>10737.66</v>
      </c>
      <c r="H77" s="29">
        <f t="shared" si="16"/>
        <v>11289.869999999999</v>
      </c>
      <c r="I77" s="29" t="str">
        <f t="shared" si="16"/>
        <v/>
      </c>
      <c r="J77" s="29" t="str">
        <f t="shared" si="16"/>
        <v/>
      </c>
      <c r="K77" s="29" t="str">
        <f t="shared" si="16"/>
        <v/>
      </c>
      <c r="L77" s="29" t="str">
        <f t="shared" si="16"/>
        <v/>
      </c>
      <c r="M77" s="29" t="str">
        <f t="shared" si="16"/>
        <v/>
      </c>
      <c r="N77" s="29" t="str">
        <f t="shared" si="16"/>
        <v/>
      </c>
      <c r="O77" s="29" t="str">
        <f t="shared" si="16"/>
        <v/>
      </c>
      <c r="P77" s="27"/>
      <c r="Q77" s="58"/>
    </row>
    <row r="78" spans="1:17">
      <c r="A78" s="48" t="s">
        <v>70</v>
      </c>
      <c r="B78" s="27"/>
      <c r="C78" s="30">
        <f t="shared" ref="C78" si="17">C137</f>
        <v>18114</v>
      </c>
      <c r="D78" s="29">
        <f>D137</f>
        <v>11534.5</v>
      </c>
      <c r="E78" s="29">
        <f t="shared" ref="E78:O78" si="18">E137</f>
        <v>11452.33</v>
      </c>
      <c r="F78" s="29">
        <f t="shared" si="18"/>
        <v>11477.33</v>
      </c>
      <c r="G78" s="29">
        <f t="shared" si="18"/>
        <v>11492.33</v>
      </c>
      <c r="H78" s="29">
        <f t="shared" si="18"/>
        <v>11535.33</v>
      </c>
      <c r="I78" s="29" t="str">
        <f t="shared" si="18"/>
        <v/>
      </c>
      <c r="J78" s="29" t="str">
        <f t="shared" si="18"/>
        <v/>
      </c>
      <c r="K78" s="29" t="str">
        <f t="shared" si="18"/>
        <v/>
      </c>
      <c r="L78" s="29" t="str">
        <f t="shared" si="18"/>
        <v/>
      </c>
      <c r="M78" s="29" t="str">
        <f t="shared" si="18"/>
        <v/>
      </c>
      <c r="N78" s="29" t="str">
        <f t="shared" si="18"/>
        <v/>
      </c>
      <c r="O78" s="29" t="e">
        <f t="shared" si="18"/>
        <v>#VALUE!</v>
      </c>
      <c r="P78" s="27"/>
      <c r="Q78" s="58"/>
    </row>
    <row r="79" spans="1:17">
      <c r="A79" s="48" t="s">
        <v>71</v>
      </c>
      <c r="B79" s="27"/>
      <c r="C79" s="29">
        <v>14682</v>
      </c>
      <c r="D79" s="29">
        <v>15223</v>
      </c>
      <c r="E79" s="29">
        <v>15223</v>
      </c>
      <c r="F79" s="29">
        <v>15223</v>
      </c>
      <c r="G79" s="29">
        <v>15223</v>
      </c>
      <c r="H79" s="29">
        <v>15223</v>
      </c>
      <c r="I79" s="29">
        <v>15223</v>
      </c>
      <c r="J79" s="29">
        <v>15223</v>
      </c>
      <c r="K79" s="29">
        <v>15223</v>
      </c>
      <c r="L79" s="29">
        <v>15223</v>
      </c>
      <c r="M79" s="29">
        <v>15223</v>
      </c>
      <c r="N79" s="29">
        <v>15223</v>
      </c>
      <c r="O79" s="29">
        <v>15223</v>
      </c>
      <c r="P79" s="27"/>
      <c r="Q79" s="58"/>
    </row>
    <row r="80" spans="1:17">
      <c r="A80" s="50" t="s">
        <v>72</v>
      </c>
      <c r="B80" s="32"/>
      <c r="C80" s="25">
        <f t="shared" ref="C80:O80" si="19">IF(C76="",C75,C75-C76-C77-C78-C79)</f>
        <v>87415.699999999983</v>
      </c>
      <c r="D80" s="25">
        <f t="shared" si="19"/>
        <v>78501.66</v>
      </c>
      <c r="E80" s="25">
        <f t="shared" si="19"/>
        <v>74473.359999999986</v>
      </c>
      <c r="F80" s="25">
        <f t="shared" si="19"/>
        <v>72918.94</v>
      </c>
      <c r="G80" s="25">
        <f t="shared" si="19"/>
        <v>79241.42</v>
      </c>
      <c r="H80" s="25">
        <f t="shared" si="19"/>
        <v>60668.930000000008</v>
      </c>
      <c r="I80" s="25" t="e">
        <f t="shared" si="19"/>
        <v>#VALUE!</v>
      </c>
      <c r="J80" s="25" t="e">
        <f t="shared" si="19"/>
        <v>#VALUE!</v>
      </c>
      <c r="K80" s="25" t="e">
        <f t="shared" si="19"/>
        <v>#VALUE!</v>
      </c>
      <c r="L80" s="25" t="e">
        <f t="shared" si="19"/>
        <v>#VALUE!</v>
      </c>
      <c r="M80" s="25" t="e">
        <f t="shared" si="19"/>
        <v>#VALUE!</v>
      </c>
      <c r="N80" s="25" t="e">
        <f t="shared" si="19"/>
        <v>#VALUE!</v>
      </c>
      <c r="O80" s="26" t="e">
        <f t="shared" si="19"/>
        <v>#VALUE!</v>
      </c>
      <c r="P80" s="27"/>
      <c r="Q80" s="58"/>
    </row>
    <row r="81" spans="1:17">
      <c r="A81" s="50"/>
      <c r="B81" s="27" t="s">
        <v>73</v>
      </c>
      <c r="C81" s="29"/>
      <c r="D81" s="27"/>
      <c r="E81" s="27"/>
      <c r="F81" s="27"/>
      <c r="G81" s="27" t="s">
        <v>74</v>
      </c>
      <c r="H81" s="27"/>
      <c r="I81" s="27"/>
      <c r="J81" s="27"/>
      <c r="K81" s="27"/>
      <c r="L81" s="27"/>
      <c r="M81" s="27"/>
      <c r="N81" s="27"/>
      <c r="O81" s="30"/>
      <c r="P81" s="27"/>
      <c r="Q81" s="58"/>
    </row>
    <row r="82" spans="1:17">
      <c r="A82" s="50"/>
      <c r="B82" s="27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29"/>
      <c r="Q82" s="56"/>
    </row>
    <row r="83" spans="1:17">
      <c r="A83" s="50"/>
      <c r="B83" s="27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  <c r="P83" s="29"/>
      <c r="Q83" s="56"/>
    </row>
    <row r="84" spans="1:17">
      <c r="A84" s="49" t="s">
        <v>75</v>
      </c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  <c r="P84" s="25"/>
      <c r="Q84" s="56"/>
    </row>
    <row r="85" spans="1:17">
      <c r="A85" s="48"/>
      <c r="B85" s="27"/>
      <c r="C85" s="25" t="s">
        <v>11</v>
      </c>
      <c r="D85" s="25" t="s">
        <v>0</v>
      </c>
      <c r="E85" s="25" t="s">
        <v>1</v>
      </c>
      <c r="F85" s="25" t="s">
        <v>2</v>
      </c>
      <c r="G85" s="25" t="s">
        <v>3</v>
      </c>
      <c r="H85" s="25" t="s">
        <v>4</v>
      </c>
      <c r="I85" s="25" t="s">
        <v>5</v>
      </c>
      <c r="J85" s="25" t="s">
        <v>6</v>
      </c>
      <c r="K85" s="25" t="s">
        <v>7</v>
      </c>
      <c r="L85" s="25" t="s">
        <v>8</v>
      </c>
      <c r="M85" s="25" t="s">
        <v>9</v>
      </c>
      <c r="N85" s="25" t="s">
        <v>10</v>
      </c>
      <c r="O85" s="25" t="s">
        <v>11</v>
      </c>
      <c r="P85" s="29"/>
      <c r="Q85" s="56"/>
    </row>
    <row r="86" spans="1:17">
      <c r="A86" s="50" t="s">
        <v>76</v>
      </c>
      <c r="B86" s="27"/>
      <c r="C86" s="25">
        <v>16526</v>
      </c>
      <c r="D86" s="25">
        <f>IF(AND(D88="",D87=""),"",C86+D88-D87)</f>
        <v>17820.099999999999</v>
      </c>
      <c r="E86" s="25">
        <f t="shared" ref="E86:O86" si="20">IF(AND(E88="",E87=""),"",D86+E88-E87)</f>
        <v>17820.099999999999</v>
      </c>
      <c r="F86" s="25">
        <f t="shared" si="20"/>
        <v>10052.91</v>
      </c>
      <c r="G86" s="25">
        <f t="shared" si="20"/>
        <v>10052.91</v>
      </c>
      <c r="H86" s="25">
        <f t="shared" si="20"/>
        <v>10052.91</v>
      </c>
      <c r="I86" s="25" t="str">
        <f t="shared" si="20"/>
        <v/>
      </c>
      <c r="J86" s="25" t="str">
        <f t="shared" si="20"/>
        <v/>
      </c>
      <c r="K86" s="25" t="str">
        <f t="shared" si="20"/>
        <v/>
      </c>
      <c r="L86" s="25" t="str">
        <f t="shared" si="20"/>
        <v/>
      </c>
      <c r="M86" s="25" t="str">
        <f t="shared" si="20"/>
        <v/>
      </c>
      <c r="N86" s="25" t="str">
        <f t="shared" si="20"/>
        <v/>
      </c>
      <c r="O86" s="26" t="str">
        <f t="shared" si="20"/>
        <v/>
      </c>
      <c r="P86" s="27"/>
      <c r="Q86" s="58"/>
    </row>
    <row r="87" spans="1:17">
      <c r="A87" s="48" t="s">
        <v>77</v>
      </c>
      <c r="B87" s="27"/>
      <c r="C87" s="29">
        <v>0</v>
      </c>
      <c r="D87" s="29">
        <v>0</v>
      </c>
      <c r="E87" s="29">
        <v>0</v>
      </c>
      <c r="F87" s="29">
        <v>7767.19</v>
      </c>
      <c r="G87" s="29">
        <v>0</v>
      </c>
      <c r="H87" s="29">
        <v>0</v>
      </c>
      <c r="I87" s="29"/>
      <c r="J87" s="29"/>
      <c r="K87" s="29"/>
      <c r="L87" s="29"/>
      <c r="M87" s="29"/>
      <c r="N87" s="29"/>
      <c r="O87" s="30"/>
      <c r="P87" s="37"/>
      <c r="Q87" s="59"/>
    </row>
    <row r="88" spans="1:17">
      <c r="A88" s="48" t="s">
        <v>78</v>
      </c>
      <c r="B88" s="27"/>
      <c r="C88" s="29">
        <v>0</v>
      </c>
      <c r="D88" s="29">
        <v>1294.0999999999999</v>
      </c>
      <c r="E88" s="29">
        <v>0</v>
      </c>
      <c r="F88" s="29">
        <v>0</v>
      </c>
      <c r="G88" s="29">
        <v>0</v>
      </c>
      <c r="H88" s="29">
        <v>0</v>
      </c>
      <c r="I88" s="29"/>
      <c r="J88" s="29"/>
      <c r="K88" s="29"/>
      <c r="L88" s="29"/>
      <c r="M88" s="29"/>
      <c r="N88" s="29"/>
      <c r="O88" s="30"/>
      <c r="P88" s="37"/>
      <c r="Q88" s="59"/>
    </row>
    <row r="89" spans="1:17">
      <c r="A89" s="50" t="s">
        <v>79</v>
      </c>
      <c r="B89" s="32"/>
      <c r="C89" s="25">
        <v>37853</v>
      </c>
      <c r="D89" s="25">
        <f t="shared" ref="D89:O89" si="21">IF(AND(D91="",D90=""),"",C89+D91-D90)</f>
        <v>36598.43</v>
      </c>
      <c r="E89" s="25">
        <f t="shared" si="21"/>
        <v>36598.43</v>
      </c>
      <c r="F89" s="25">
        <f t="shared" si="21"/>
        <v>34608.43</v>
      </c>
      <c r="G89" s="25">
        <f t="shared" si="21"/>
        <v>30061.760000000002</v>
      </c>
      <c r="H89" s="25">
        <f t="shared" si="21"/>
        <v>30061.760000000002</v>
      </c>
      <c r="I89" s="25" t="str">
        <f t="shared" si="21"/>
        <v/>
      </c>
      <c r="J89" s="25" t="str">
        <f t="shared" si="21"/>
        <v/>
      </c>
      <c r="K89" s="25" t="str">
        <f t="shared" si="21"/>
        <v/>
      </c>
      <c r="L89" s="25" t="str">
        <f t="shared" si="21"/>
        <v/>
      </c>
      <c r="M89" s="25" t="str">
        <f t="shared" si="21"/>
        <v/>
      </c>
      <c r="N89" s="25" t="str">
        <f t="shared" si="21"/>
        <v/>
      </c>
      <c r="O89" s="26" t="str">
        <f t="shared" si="21"/>
        <v/>
      </c>
      <c r="P89" s="37"/>
      <c r="Q89" s="59"/>
    </row>
    <row r="90" spans="1:17">
      <c r="A90" s="48" t="s">
        <v>77</v>
      </c>
      <c r="B90" s="27"/>
      <c r="C90" s="29">
        <v>0</v>
      </c>
      <c r="D90" s="29">
        <v>12901.47</v>
      </c>
      <c r="E90" s="29">
        <v>0</v>
      </c>
      <c r="F90" s="29">
        <v>1990</v>
      </c>
      <c r="G90" s="29">
        <v>4546.67</v>
      </c>
      <c r="H90" s="29">
        <v>0</v>
      </c>
      <c r="I90" s="29"/>
      <c r="J90" s="29"/>
      <c r="K90" s="29"/>
      <c r="L90" s="29"/>
      <c r="M90" s="29"/>
      <c r="N90" s="29"/>
      <c r="O90" s="30"/>
      <c r="P90" s="37"/>
      <c r="Q90" s="59"/>
    </row>
    <row r="91" spans="1:17">
      <c r="A91" s="48" t="s">
        <v>78</v>
      </c>
      <c r="B91" s="27"/>
      <c r="C91" s="29">
        <v>0</v>
      </c>
      <c r="D91" s="29">
        <v>11646.9</v>
      </c>
      <c r="E91" s="29">
        <v>0</v>
      </c>
      <c r="F91" s="29">
        <v>0</v>
      </c>
      <c r="G91" s="29">
        <v>0</v>
      </c>
      <c r="H91" s="29">
        <v>0</v>
      </c>
      <c r="I91" s="29"/>
      <c r="J91" s="29"/>
      <c r="K91" s="29"/>
      <c r="L91" s="29"/>
      <c r="M91" s="29"/>
      <c r="N91" s="29"/>
      <c r="O91" s="30"/>
      <c r="P91" s="37"/>
      <c r="Q91" s="59"/>
    </row>
    <row r="92" spans="1:17">
      <c r="A92" s="50" t="s">
        <v>113</v>
      </c>
      <c r="B92" s="32"/>
      <c r="C92" s="25">
        <v>20726</v>
      </c>
      <c r="D92" s="25">
        <f>IF(AND(D94="",D93=""),"",C92+D94-D93)</f>
        <v>20726</v>
      </c>
      <c r="E92" s="25">
        <f t="shared" ref="E92:O92" si="22">IF(AND(E94="",E93=""),"",D92+E94-E93)</f>
        <v>20726</v>
      </c>
      <c r="F92" s="25">
        <f t="shared" si="22"/>
        <v>20726</v>
      </c>
      <c r="G92" s="25">
        <f t="shared" si="22"/>
        <v>20726</v>
      </c>
      <c r="H92" s="25">
        <f t="shared" si="22"/>
        <v>20726</v>
      </c>
      <c r="I92" s="25" t="str">
        <f t="shared" si="22"/>
        <v/>
      </c>
      <c r="J92" s="25" t="str">
        <f t="shared" si="22"/>
        <v/>
      </c>
      <c r="K92" s="25" t="str">
        <f t="shared" si="22"/>
        <v/>
      </c>
      <c r="L92" s="25" t="str">
        <f t="shared" si="22"/>
        <v/>
      </c>
      <c r="M92" s="25" t="str">
        <f t="shared" si="22"/>
        <v/>
      </c>
      <c r="N92" s="25" t="str">
        <f t="shared" si="22"/>
        <v/>
      </c>
      <c r="O92" s="26" t="str">
        <f t="shared" si="22"/>
        <v/>
      </c>
      <c r="P92" s="37"/>
      <c r="Q92" s="59"/>
    </row>
    <row r="93" spans="1:17">
      <c r="A93" s="48" t="s">
        <v>77</v>
      </c>
      <c r="B93" s="27"/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/>
      <c r="J93" s="29"/>
      <c r="K93" s="29"/>
      <c r="L93" s="29"/>
      <c r="M93" s="29"/>
      <c r="N93" s="29"/>
      <c r="O93" s="30"/>
      <c r="P93" s="37"/>
      <c r="Q93" s="59"/>
    </row>
    <row r="94" spans="1:17">
      <c r="A94" s="48" t="s">
        <v>78</v>
      </c>
      <c r="B94" s="27"/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/>
      <c r="J94" s="29"/>
      <c r="K94" s="29"/>
      <c r="L94" s="29"/>
      <c r="M94" s="29"/>
      <c r="N94" s="29"/>
      <c r="O94" s="30"/>
      <c r="P94" s="37"/>
      <c r="Q94" s="59"/>
    </row>
    <row r="95" spans="1:17">
      <c r="A95" s="49" t="s">
        <v>80</v>
      </c>
      <c r="B95" s="27"/>
      <c r="C95" s="25">
        <v>10682</v>
      </c>
      <c r="D95" s="25">
        <f>IF(AND(D97="",D96=""),"",C95+D97-D96)</f>
        <v>9164</v>
      </c>
      <c r="E95" s="25">
        <f t="shared" ref="E95:O95" si="23">IF(AND(E97="",E96=""),"",D95+E97-E96)</f>
        <v>8958.52</v>
      </c>
      <c r="F95" s="25">
        <f t="shared" si="23"/>
        <v>8958.52</v>
      </c>
      <c r="G95" s="25">
        <f t="shared" si="23"/>
        <v>8958.52</v>
      </c>
      <c r="H95" s="25">
        <f t="shared" si="23"/>
        <v>8958.52</v>
      </c>
      <c r="I95" s="25" t="str">
        <f t="shared" si="23"/>
        <v/>
      </c>
      <c r="J95" s="25" t="str">
        <f t="shared" si="23"/>
        <v/>
      </c>
      <c r="K95" s="25" t="str">
        <f t="shared" si="23"/>
        <v/>
      </c>
      <c r="L95" s="25" t="str">
        <f t="shared" si="23"/>
        <v/>
      </c>
      <c r="M95" s="25" t="str">
        <f t="shared" si="23"/>
        <v/>
      </c>
      <c r="N95" s="25" t="str">
        <f t="shared" si="23"/>
        <v/>
      </c>
      <c r="O95" s="26" t="str">
        <f t="shared" si="23"/>
        <v/>
      </c>
      <c r="P95" s="37"/>
      <c r="Q95" s="59"/>
    </row>
    <row r="96" spans="1:17">
      <c r="A96" s="48" t="s">
        <v>77</v>
      </c>
      <c r="B96" s="27"/>
      <c r="C96" s="29">
        <v>612</v>
      </c>
      <c r="D96" s="29">
        <v>1518</v>
      </c>
      <c r="E96" s="29">
        <v>205.48</v>
      </c>
      <c r="F96" s="29">
        <v>0</v>
      </c>
      <c r="G96" s="29">
        <v>0</v>
      </c>
      <c r="H96" s="29">
        <v>0</v>
      </c>
      <c r="I96" s="29"/>
      <c r="J96" s="29"/>
      <c r="K96" s="29"/>
      <c r="L96" s="29"/>
      <c r="M96" s="29"/>
      <c r="N96" s="29"/>
      <c r="O96" s="30"/>
      <c r="P96" s="37"/>
      <c r="Q96" s="59"/>
    </row>
    <row r="97" spans="1:17">
      <c r="A97" s="48" t="s">
        <v>78</v>
      </c>
      <c r="B97" s="27"/>
      <c r="C97" s="29">
        <v>184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/>
      <c r="J97" s="29"/>
      <c r="K97" s="29"/>
      <c r="L97" s="29"/>
      <c r="M97" s="29"/>
      <c r="N97" s="29"/>
      <c r="O97" s="30"/>
      <c r="P97" s="37"/>
      <c r="Q97" s="59"/>
    </row>
    <row r="98" spans="1:17">
      <c r="A98" s="49" t="s">
        <v>105</v>
      </c>
      <c r="B98" s="27"/>
      <c r="C98" s="25">
        <v>9499</v>
      </c>
      <c r="D98" s="25">
        <f>IF(AND(D100="",D99=""),"",C98+D100-D99)</f>
        <v>9499</v>
      </c>
      <c r="E98" s="25">
        <f t="shared" ref="E98:O98" si="24">IF(AND(E100="",E99=""),"",D98+E100-E99)</f>
        <v>9499</v>
      </c>
      <c r="F98" s="25">
        <f t="shared" si="24"/>
        <v>9499</v>
      </c>
      <c r="G98" s="25">
        <f t="shared" si="24"/>
        <v>9499</v>
      </c>
      <c r="H98" s="25">
        <f t="shared" si="24"/>
        <v>9499</v>
      </c>
      <c r="I98" s="25" t="str">
        <f t="shared" si="24"/>
        <v/>
      </c>
      <c r="J98" s="25" t="str">
        <f t="shared" si="24"/>
        <v/>
      </c>
      <c r="K98" s="25" t="str">
        <f t="shared" si="24"/>
        <v/>
      </c>
      <c r="L98" s="25" t="str">
        <f t="shared" si="24"/>
        <v/>
      </c>
      <c r="M98" s="25" t="str">
        <f t="shared" si="24"/>
        <v/>
      </c>
      <c r="N98" s="25" t="str">
        <f t="shared" si="24"/>
        <v/>
      </c>
      <c r="O98" s="26" t="str">
        <f t="shared" si="24"/>
        <v/>
      </c>
      <c r="P98" s="27"/>
      <c r="Q98" s="56"/>
    </row>
    <row r="99" spans="1:17">
      <c r="A99" s="48" t="s">
        <v>77</v>
      </c>
      <c r="B99" s="27"/>
      <c r="C99" s="62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/>
      <c r="J99" s="29"/>
      <c r="K99" s="29"/>
      <c r="L99" s="29"/>
      <c r="M99" s="29"/>
      <c r="N99" s="29"/>
      <c r="O99" s="30"/>
      <c r="P99" s="29"/>
      <c r="Q99" s="56"/>
    </row>
    <row r="100" spans="1:17">
      <c r="A100" s="48" t="s">
        <v>78</v>
      </c>
      <c r="B100" s="27"/>
      <c r="C100" s="33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/>
      <c r="J100" s="29"/>
      <c r="K100" s="29"/>
      <c r="L100" s="29"/>
      <c r="M100" s="29"/>
      <c r="N100" s="29"/>
      <c r="O100" s="30"/>
      <c r="P100" s="29"/>
      <c r="Q100" s="56"/>
    </row>
    <row r="101" spans="1:17">
      <c r="A101" s="50" t="s">
        <v>12</v>
      </c>
      <c r="B101" s="27"/>
      <c r="C101" s="25">
        <f>C86+C89+C92+C95+C98</f>
        <v>95286</v>
      </c>
      <c r="D101" s="24">
        <f t="shared" ref="D101:O101" si="25">D86+D89+D92+D95+D98</f>
        <v>93807.53</v>
      </c>
      <c r="E101" s="24">
        <f t="shared" si="25"/>
        <v>93602.05</v>
      </c>
      <c r="F101" s="24">
        <f t="shared" si="25"/>
        <v>83844.86</v>
      </c>
      <c r="G101" s="24">
        <f t="shared" si="25"/>
        <v>79298.19</v>
      </c>
      <c r="H101" s="24">
        <f t="shared" si="25"/>
        <v>79298.19</v>
      </c>
      <c r="I101" s="24" t="e">
        <f t="shared" si="25"/>
        <v>#VALUE!</v>
      </c>
      <c r="J101" s="24" t="e">
        <f t="shared" si="25"/>
        <v>#VALUE!</v>
      </c>
      <c r="K101" s="24" t="e">
        <f t="shared" si="25"/>
        <v>#VALUE!</v>
      </c>
      <c r="L101" s="24" t="e">
        <f t="shared" si="25"/>
        <v>#VALUE!</v>
      </c>
      <c r="M101" s="24" t="e">
        <f t="shared" si="25"/>
        <v>#VALUE!</v>
      </c>
      <c r="N101" s="24" t="e">
        <f t="shared" si="25"/>
        <v>#VALUE!</v>
      </c>
      <c r="O101" s="24" t="e">
        <f t="shared" si="25"/>
        <v>#VALUE!</v>
      </c>
      <c r="P101" s="27"/>
      <c r="Q101" s="58"/>
    </row>
    <row r="102" spans="1:17">
      <c r="A102" s="50"/>
      <c r="B102" s="27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/>
      <c r="P102" s="29"/>
      <c r="Q102" s="56"/>
    </row>
    <row r="103" spans="1:17">
      <c r="A103" s="49" t="s">
        <v>81</v>
      </c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6"/>
      <c r="P103" s="31"/>
      <c r="Q103" s="59"/>
    </row>
    <row r="104" spans="1:17">
      <c r="A104" s="49" t="s">
        <v>82</v>
      </c>
      <c r="B104" s="32"/>
      <c r="C104" s="25">
        <v>786</v>
      </c>
      <c r="D104" s="26">
        <f t="shared" ref="D104:E104" si="26">IF(AND(D106="",D105=""),"",C104+D106-D105)</f>
        <v>786</v>
      </c>
      <c r="E104" s="26">
        <f t="shared" si="26"/>
        <v>786</v>
      </c>
      <c r="F104" s="26">
        <f t="shared" ref="F104" si="27">IF(AND(F106="",F105=""),"",E104+F106-F105)</f>
        <v>786</v>
      </c>
      <c r="G104" s="25">
        <f t="shared" ref="G104" si="28">IF(AND(G106="",G105=""),"",F104+G106-G105)</f>
        <v>786</v>
      </c>
      <c r="H104" s="25">
        <f t="shared" ref="H104" si="29">IF(AND(H106="",H105=""),"",G104+H106-H105)</f>
        <v>786</v>
      </c>
      <c r="I104" s="25" t="str">
        <f t="shared" ref="I104" si="30">IF(AND(I106="",I105=""),"",H104+I106-I105)</f>
        <v/>
      </c>
      <c r="J104" s="25" t="str">
        <f t="shared" ref="J104" si="31">IF(AND(J106="",J105=""),"",I104+J106-J105)</f>
        <v/>
      </c>
      <c r="K104" s="25" t="str">
        <f t="shared" ref="K104" si="32">IF(AND(K106="",K105=""),"",J104+K106-K105)</f>
        <v/>
      </c>
      <c r="L104" s="25" t="str">
        <f t="shared" ref="L104" si="33">IF(AND(L106="",L105=""),"",K104+L106-L105)</f>
        <v/>
      </c>
      <c r="M104" s="25" t="str">
        <f t="shared" ref="M104" si="34">IF(AND(M106="",M105=""),"",L104+M106-M105)</f>
        <v/>
      </c>
      <c r="N104" s="25" t="str">
        <f t="shared" ref="N104" si="35">IF(AND(N106="",N105=""),"",M104+N106-N105)</f>
        <v/>
      </c>
      <c r="O104" s="25" t="e">
        <f>IF(AND(F106="",F105=""),"",N104+F106-F105)</f>
        <v>#VALUE!</v>
      </c>
      <c r="P104" s="37"/>
      <c r="Q104" s="59"/>
    </row>
    <row r="105" spans="1:17">
      <c r="A105" s="48" t="s">
        <v>77</v>
      </c>
      <c r="B105" s="27"/>
      <c r="C105" s="29">
        <v>0</v>
      </c>
      <c r="D105" s="30">
        <v>0</v>
      </c>
      <c r="E105" s="29">
        <v>0</v>
      </c>
      <c r="F105" s="30">
        <v>0</v>
      </c>
      <c r="G105" s="65">
        <v>0</v>
      </c>
      <c r="H105" s="66">
        <v>0</v>
      </c>
      <c r="I105" s="5"/>
      <c r="J105" s="5"/>
      <c r="K105" s="5"/>
      <c r="L105" s="5"/>
      <c r="M105" s="5"/>
      <c r="N105" s="5"/>
      <c r="O105" s="5"/>
      <c r="P105" s="4"/>
      <c r="Q105" s="4"/>
    </row>
    <row r="106" spans="1:17">
      <c r="A106" s="48" t="s">
        <v>78</v>
      </c>
      <c r="B106" s="27"/>
      <c r="C106" s="29">
        <v>0</v>
      </c>
      <c r="D106" s="30">
        <v>0</v>
      </c>
      <c r="E106" s="29">
        <v>0</v>
      </c>
      <c r="F106" s="30">
        <v>0</v>
      </c>
      <c r="G106" s="65">
        <v>0</v>
      </c>
      <c r="H106" s="66">
        <v>0</v>
      </c>
      <c r="I106" s="5"/>
      <c r="J106" s="5"/>
      <c r="K106" s="5"/>
      <c r="L106" s="5"/>
      <c r="M106" s="5"/>
      <c r="N106" s="5"/>
      <c r="O106" s="5"/>
      <c r="P106" s="4"/>
      <c r="Q106" s="4"/>
    </row>
    <row r="107" spans="1:17">
      <c r="A107" s="49" t="s">
        <v>83</v>
      </c>
      <c r="B107" s="27"/>
      <c r="C107" s="25">
        <v>1140</v>
      </c>
      <c r="D107" s="26">
        <f t="shared" ref="D107" si="36">IF(AND(D109="",D108=""),"",C107+D109-D108)</f>
        <v>1140</v>
      </c>
      <c r="E107" s="26">
        <f t="shared" ref="E107" si="37">IF(AND(E109="",E108=""),"",D107+E109-E108)</f>
        <v>1140</v>
      </c>
      <c r="F107" s="26">
        <f t="shared" ref="F107" si="38">IF(AND(F109="",F108=""),"",E107+F109-F108)</f>
        <v>1140</v>
      </c>
      <c r="G107" s="25">
        <f t="shared" ref="G107" si="39">IF(AND(G109="",G108=""),"",F107+G109-G108)</f>
        <v>1140</v>
      </c>
      <c r="H107" s="25">
        <f t="shared" ref="H107" si="40">IF(AND(H109="",H108=""),"",G107+H109-H108)</f>
        <v>1140</v>
      </c>
      <c r="I107" s="25" t="str">
        <f t="shared" ref="I107" si="41">IF(AND(I109="",I108=""),"",H107+I109-I108)</f>
        <v/>
      </c>
      <c r="J107" s="25" t="str">
        <f t="shared" ref="J107" si="42">IF(AND(J109="",J108=""),"",I107+J109-J108)</f>
        <v/>
      </c>
      <c r="K107" s="25" t="str">
        <f t="shared" ref="K107" si="43">IF(AND(K109="",K108=""),"",J107+K109-K108)</f>
        <v/>
      </c>
      <c r="L107" s="25" t="str">
        <f t="shared" ref="L107" si="44">IF(AND(L109="",L108=""),"",K107+L109-L108)</f>
        <v/>
      </c>
      <c r="M107" s="25" t="str">
        <f t="shared" ref="M107" si="45">IF(AND(M109="",M108=""),"",L107+M109-M108)</f>
        <v/>
      </c>
      <c r="N107" s="25" t="str">
        <f t="shared" ref="N107" si="46">IF(AND(N109="",N108=""),"",M107+N109-N108)</f>
        <v/>
      </c>
      <c r="O107" s="25" t="e">
        <f>IF(AND(F109="",F108=""),"",N107+F109-F108)</f>
        <v>#VALUE!</v>
      </c>
      <c r="P107" s="37"/>
      <c r="Q107" s="59"/>
    </row>
    <row r="108" spans="1:17">
      <c r="A108" s="48" t="s">
        <v>77</v>
      </c>
      <c r="B108" s="27"/>
      <c r="C108" s="29">
        <v>0</v>
      </c>
      <c r="D108" s="30">
        <v>0</v>
      </c>
      <c r="E108" s="29">
        <v>0</v>
      </c>
      <c r="F108" s="30">
        <v>0</v>
      </c>
      <c r="G108" s="65">
        <v>0</v>
      </c>
      <c r="H108" s="66">
        <v>0</v>
      </c>
      <c r="I108" s="5"/>
      <c r="J108" s="5"/>
      <c r="K108" s="5"/>
      <c r="L108" s="5"/>
      <c r="M108" s="5"/>
      <c r="N108" s="5"/>
      <c r="O108" s="5"/>
      <c r="P108" s="4"/>
      <c r="Q108" s="4"/>
    </row>
    <row r="109" spans="1:17">
      <c r="A109" s="48" t="s">
        <v>78</v>
      </c>
      <c r="B109" s="27"/>
      <c r="C109" s="29">
        <v>0</v>
      </c>
      <c r="D109" s="30">
        <v>0</v>
      </c>
      <c r="E109" s="29">
        <v>0</v>
      </c>
      <c r="F109" s="30">
        <v>0</v>
      </c>
      <c r="G109" s="65">
        <v>0</v>
      </c>
      <c r="H109" s="66">
        <v>0</v>
      </c>
      <c r="I109" s="5"/>
      <c r="J109" s="5"/>
      <c r="K109" s="5"/>
      <c r="L109" s="5"/>
      <c r="M109" s="5"/>
      <c r="N109" s="5"/>
      <c r="O109" s="5"/>
      <c r="P109" s="4"/>
      <c r="Q109" s="4"/>
    </row>
    <row r="110" spans="1:17">
      <c r="A110" s="49" t="s">
        <v>102</v>
      </c>
      <c r="B110" s="24"/>
      <c r="C110" s="25">
        <v>71</v>
      </c>
      <c r="D110" s="26">
        <f t="shared" ref="D110" si="47">IF(AND(D112="",D111=""),"",C110+D112-D111)</f>
        <v>71</v>
      </c>
      <c r="E110" s="26">
        <f t="shared" ref="E110" si="48">IF(AND(E112="",E111=""),"",D110+E112-E111)</f>
        <v>71</v>
      </c>
      <c r="F110" s="26">
        <f t="shared" ref="F110" si="49">IF(AND(F112="",F111=""),"",E110+F112-F111)</f>
        <v>71</v>
      </c>
      <c r="G110" s="25">
        <f t="shared" ref="G110" si="50">IF(AND(G112="",G111=""),"",F110+G112-G111)</f>
        <v>71</v>
      </c>
      <c r="H110" s="25">
        <f t="shared" ref="H110" si="51">IF(AND(H112="",H111=""),"",G110+H112-H111)</f>
        <v>71</v>
      </c>
      <c r="I110" s="25" t="str">
        <f t="shared" ref="I110" si="52">IF(AND(I112="",I111=""),"",H110+I112-I111)</f>
        <v/>
      </c>
      <c r="J110" s="25" t="str">
        <f t="shared" ref="J110" si="53">IF(AND(J112="",J111=""),"",I110+J112-J111)</f>
        <v/>
      </c>
      <c r="K110" s="25" t="str">
        <f t="shared" ref="K110" si="54">IF(AND(K112="",K111=""),"",J110+K112-K111)</f>
        <v/>
      </c>
      <c r="L110" s="25" t="str">
        <f t="shared" ref="L110" si="55">IF(AND(L112="",L111=""),"",K110+L112-L111)</f>
        <v/>
      </c>
      <c r="M110" s="25" t="str">
        <f t="shared" ref="M110" si="56">IF(AND(M112="",M111=""),"",L110+M112-M111)</f>
        <v/>
      </c>
      <c r="N110" s="25" t="str">
        <f t="shared" ref="N110" si="57">IF(AND(N112="",N111=""),"",M110+N112-N111)</f>
        <v/>
      </c>
      <c r="O110" s="25" t="e">
        <f>IF(AND(F112="",F111=""),"",N110+F112-F111)</f>
        <v>#VALUE!</v>
      </c>
      <c r="P110" s="34"/>
      <c r="Q110" s="60"/>
    </row>
    <row r="111" spans="1:17">
      <c r="A111" s="52" t="s">
        <v>84</v>
      </c>
      <c r="B111" s="27"/>
      <c r="C111" s="29">
        <v>0</v>
      </c>
      <c r="D111" s="30">
        <v>0</v>
      </c>
      <c r="E111" s="29">
        <v>0</v>
      </c>
      <c r="F111" s="30">
        <v>0</v>
      </c>
      <c r="G111" s="65">
        <v>0</v>
      </c>
      <c r="H111" s="66">
        <v>0</v>
      </c>
      <c r="I111" s="5"/>
      <c r="J111" s="5"/>
      <c r="K111" s="5"/>
      <c r="L111" s="5"/>
      <c r="M111" s="5"/>
      <c r="N111" s="5"/>
      <c r="O111" s="5"/>
      <c r="P111" s="4"/>
      <c r="Q111" s="4"/>
    </row>
    <row r="112" spans="1:17">
      <c r="A112" s="52" t="s">
        <v>85</v>
      </c>
      <c r="B112" s="27"/>
      <c r="C112" s="29">
        <v>0</v>
      </c>
      <c r="D112" s="30">
        <v>0</v>
      </c>
      <c r="E112" s="29">
        <v>0</v>
      </c>
      <c r="F112" s="30">
        <v>0</v>
      </c>
      <c r="G112" s="65">
        <v>0</v>
      </c>
      <c r="H112" s="66">
        <v>0</v>
      </c>
      <c r="I112" s="5"/>
      <c r="J112" s="5"/>
      <c r="K112" s="5"/>
      <c r="L112" s="5"/>
      <c r="M112" s="5"/>
      <c r="N112" s="5"/>
      <c r="O112" s="5"/>
      <c r="P112" s="4"/>
      <c r="Q112" s="4"/>
    </row>
    <row r="113" spans="1:17">
      <c r="A113" s="49" t="s">
        <v>86</v>
      </c>
      <c r="B113" s="24"/>
      <c r="C113" s="25">
        <v>558.53</v>
      </c>
      <c r="D113" s="26">
        <f t="shared" ref="D113" si="58">IF(AND(D115="",D114=""),"",C113+D115-D114)</f>
        <v>558.53</v>
      </c>
      <c r="E113" s="26">
        <f t="shared" ref="E113" si="59">IF(AND(E115="",E114=""),"",D113+E115-E114)</f>
        <v>438.29999999999995</v>
      </c>
      <c r="F113" s="26">
        <f t="shared" ref="F113" si="60">IF(AND(F115="",F114=""),"",E113+F115-F114)</f>
        <v>438.29999999999995</v>
      </c>
      <c r="G113" s="25">
        <f t="shared" ref="G113" si="61">IF(AND(G115="",G114=""),"",F113+G115-G114)</f>
        <v>438.29999999999995</v>
      </c>
      <c r="H113" s="25">
        <f t="shared" ref="H113" si="62">IF(AND(H115="",H114=""),"",G113+H115-H114)</f>
        <v>438.29999999999995</v>
      </c>
      <c r="I113" s="25" t="str">
        <f t="shared" ref="I113" si="63">IF(AND(I115="",I114=""),"",H113+I115-I114)</f>
        <v/>
      </c>
      <c r="J113" s="25" t="str">
        <f t="shared" ref="J113" si="64">IF(AND(J115="",J114=""),"",I113+J115-J114)</f>
        <v/>
      </c>
      <c r="K113" s="25" t="str">
        <f t="shared" ref="K113" si="65">IF(AND(K115="",K114=""),"",J113+K115-K114)</f>
        <v/>
      </c>
      <c r="L113" s="25" t="str">
        <f t="shared" ref="L113" si="66">IF(AND(L115="",L114=""),"",K113+L115-L114)</f>
        <v/>
      </c>
      <c r="M113" s="25" t="str">
        <f t="shared" ref="M113" si="67">IF(AND(M115="",M114=""),"",L113+M115-M114)</f>
        <v/>
      </c>
      <c r="N113" s="25" t="str">
        <f t="shared" ref="N113" si="68">IF(AND(N115="",N114=""),"",M113+N115-N114)</f>
        <v/>
      </c>
      <c r="O113" s="25" t="e">
        <f>IF(AND(F115="",F114=""),"",N113+F115-F114)</f>
        <v>#VALUE!</v>
      </c>
      <c r="P113" s="34"/>
      <c r="Q113" s="60"/>
    </row>
    <row r="114" spans="1:17">
      <c r="A114" s="52" t="s">
        <v>84</v>
      </c>
      <c r="B114" s="27"/>
      <c r="C114" s="29">
        <v>0</v>
      </c>
      <c r="D114" s="30">
        <v>0</v>
      </c>
      <c r="E114" s="29">
        <v>120.23</v>
      </c>
      <c r="F114" s="30">
        <v>0</v>
      </c>
      <c r="G114" s="65">
        <v>0</v>
      </c>
      <c r="H114" s="66">
        <v>0</v>
      </c>
      <c r="I114" s="5"/>
      <c r="J114" s="5"/>
      <c r="K114" s="5"/>
      <c r="L114" s="5"/>
      <c r="M114" s="5"/>
      <c r="N114" s="5"/>
      <c r="O114" s="5"/>
      <c r="P114" s="4"/>
      <c r="Q114" s="4"/>
    </row>
    <row r="115" spans="1:17">
      <c r="A115" s="52" t="s">
        <v>85</v>
      </c>
      <c r="B115" s="27"/>
      <c r="C115" s="29">
        <v>0</v>
      </c>
      <c r="D115" s="30">
        <v>0</v>
      </c>
      <c r="E115" s="29">
        <v>0</v>
      </c>
      <c r="F115" s="30">
        <v>0</v>
      </c>
      <c r="G115" s="65">
        <v>0</v>
      </c>
      <c r="H115" s="66">
        <v>0</v>
      </c>
      <c r="I115" s="5"/>
      <c r="J115" s="5"/>
      <c r="K115" s="5"/>
      <c r="L115" s="2"/>
      <c r="M115" s="2"/>
      <c r="N115" s="2"/>
      <c r="O115" s="2"/>
      <c r="P115" s="3"/>
      <c r="Q115" s="3"/>
    </row>
    <row r="116" spans="1:17">
      <c r="A116" s="49" t="s">
        <v>87</v>
      </c>
      <c r="B116" s="27"/>
      <c r="C116" s="25">
        <v>2626</v>
      </c>
      <c r="D116" s="26">
        <f t="shared" ref="D116" si="69">IF(AND(D118="",D117=""),"",C116+D118-D117)</f>
        <v>2626</v>
      </c>
      <c r="E116" s="26">
        <f t="shared" ref="E116" si="70">IF(AND(E118="",E117=""),"",D116+E118-E117)</f>
        <v>2626</v>
      </c>
      <c r="F116" s="26">
        <f t="shared" ref="F116" si="71">IF(AND(F118="",F117=""),"",E116+F118-F117)</f>
        <v>2626</v>
      </c>
      <c r="G116" s="25">
        <f t="shared" ref="G116" si="72">IF(AND(G118="",G117=""),"",F116+G118-G117)</f>
        <v>2626</v>
      </c>
      <c r="H116" s="25">
        <f t="shared" ref="H116" si="73">IF(AND(H118="",H117=""),"",G116+H118-H117)</f>
        <v>2626</v>
      </c>
      <c r="I116" s="25" t="str">
        <f t="shared" ref="I116" si="74">IF(AND(I118="",I117=""),"",H116+I118-I117)</f>
        <v/>
      </c>
      <c r="J116" s="25" t="str">
        <f t="shared" ref="J116" si="75">IF(AND(J118="",J117=""),"",I116+J118-J117)</f>
        <v/>
      </c>
      <c r="K116" s="25" t="str">
        <f t="shared" ref="K116" si="76">IF(AND(K118="",K117=""),"",J116+K118-K117)</f>
        <v/>
      </c>
      <c r="L116" s="25" t="str">
        <f t="shared" ref="L116" si="77">IF(AND(L118="",L117=""),"",K116+L118-L117)</f>
        <v/>
      </c>
      <c r="M116" s="25" t="str">
        <f t="shared" ref="M116" si="78">IF(AND(M118="",M117=""),"",L116+M118-M117)</f>
        <v/>
      </c>
      <c r="N116" s="25" t="str">
        <f t="shared" ref="N116" si="79">IF(AND(N118="",N117=""),"",M116+N118-N117)</f>
        <v/>
      </c>
      <c r="O116" s="25" t="e">
        <f>IF(AND(F118="",F117=""),"",N116+F118-F117)</f>
        <v>#VALUE!</v>
      </c>
      <c r="P116" s="37"/>
      <c r="Q116" s="59"/>
    </row>
    <row r="117" spans="1:17">
      <c r="A117" s="48" t="s">
        <v>77</v>
      </c>
      <c r="B117" s="27"/>
      <c r="C117" s="29">
        <v>0</v>
      </c>
      <c r="D117" s="30">
        <v>0</v>
      </c>
      <c r="E117" s="29">
        <v>0</v>
      </c>
      <c r="F117" s="30">
        <v>0</v>
      </c>
      <c r="G117" s="65">
        <v>0</v>
      </c>
      <c r="H117" s="66">
        <v>0</v>
      </c>
      <c r="I117" s="5"/>
      <c r="J117" s="5"/>
      <c r="K117" s="5"/>
      <c r="L117" s="5"/>
      <c r="M117" s="5"/>
      <c r="N117" s="5"/>
      <c r="O117" s="5"/>
      <c r="P117" s="4"/>
      <c r="Q117" s="4"/>
    </row>
    <row r="118" spans="1:17">
      <c r="A118" s="48" t="s">
        <v>78</v>
      </c>
      <c r="B118" s="27"/>
      <c r="C118" s="29">
        <v>0</v>
      </c>
      <c r="D118" s="30">
        <v>0</v>
      </c>
      <c r="E118" s="29">
        <v>0</v>
      </c>
      <c r="F118" s="30">
        <v>0</v>
      </c>
      <c r="G118" s="65">
        <v>0</v>
      </c>
      <c r="H118" s="66">
        <v>0</v>
      </c>
      <c r="I118" s="5"/>
      <c r="J118" s="5"/>
      <c r="K118" s="5"/>
      <c r="L118" s="2"/>
      <c r="M118" s="2"/>
      <c r="N118" s="2"/>
      <c r="O118" s="2"/>
      <c r="P118" s="3"/>
      <c r="Q118" s="3"/>
    </row>
    <row r="119" spans="1:17">
      <c r="A119" s="49" t="s">
        <v>88</v>
      </c>
      <c r="B119" s="27"/>
      <c r="C119" s="25">
        <v>24</v>
      </c>
      <c r="D119" s="26">
        <f t="shared" ref="D119" si="80">IF(AND(D121="",D120=""),"",C119+D121-D120)</f>
        <v>17.87</v>
      </c>
      <c r="E119" s="26">
        <f t="shared" ref="E119" si="81">IF(AND(E121="",E120=""),"",D119+E121-E120)</f>
        <v>17.87</v>
      </c>
      <c r="F119" s="26">
        <f t="shared" ref="F119" si="82">IF(AND(F121="",F120=""),"",E119+F121-F120)</f>
        <v>17.87</v>
      </c>
      <c r="G119" s="25">
        <f t="shared" ref="G119" si="83">IF(AND(G121="",G120=""),"",F119+G121-G120)</f>
        <v>17.87</v>
      </c>
      <c r="H119" s="25">
        <f t="shared" ref="H119" si="84">IF(AND(H121="",H120=""),"",G119+H121-H120)</f>
        <v>44.870000000000005</v>
      </c>
      <c r="I119" s="25" t="str">
        <f t="shared" ref="I119" si="85">IF(AND(I121="",I120=""),"",H119+I121-I120)</f>
        <v/>
      </c>
      <c r="J119" s="25" t="str">
        <f t="shared" ref="J119" si="86">IF(AND(J121="",J120=""),"",I119+J121-J120)</f>
        <v/>
      </c>
      <c r="K119" s="25" t="str">
        <f t="shared" ref="K119" si="87">IF(AND(K121="",K120=""),"",J119+K121-K120)</f>
        <v/>
      </c>
      <c r="L119" s="25" t="str">
        <f t="shared" ref="L119" si="88">IF(AND(L121="",L120=""),"",K119+L121-L120)</f>
        <v/>
      </c>
      <c r="M119" s="25" t="str">
        <f t="shared" ref="M119" si="89">IF(AND(M121="",M120=""),"",L119+M121-M120)</f>
        <v/>
      </c>
      <c r="N119" s="25" t="str">
        <f t="shared" ref="N119" si="90">IF(AND(N121="",N120=""),"",M119+N121-N120)</f>
        <v/>
      </c>
      <c r="O119" s="25" t="e">
        <f>IF(AND(F121="",F120=""),"",N119+F121-F120)</f>
        <v>#VALUE!</v>
      </c>
      <c r="P119" s="37"/>
      <c r="Q119" s="59"/>
    </row>
    <row r="120" spans="1:17">
      <c r="A120" s="48" t="s">
        <v>77</v>
      </c>
      <c r="B120" s="27"/>
      <c r="C120" s="29">
        <v>0</v>
      </c>
      <c r="D120" s="30">
        <v>6.13</v>
      </c>
      <c r="E120" s="29">
        <v>0</v>
      </c>
      <c r="F120" s="30">
        <v>0</v>
      </c>
      <c r="G120" s="65">
        <v>0</v>
      </c>
      <c r="H120" s="66">
        <v>0</v>
      </c>
      <c r="I120" s="5"/>
      <c r="J120" s="5"/>
      <c r="K120" s="5"/>
      <c r="L120" s="5"/>
      <c r="M120" s="5"/>
      <c r="N120" s="5"/>
      <c r="O120" s="5"/>
      <c r="P120" s="4"/>
      <c r="Q120" s="4"/>
    </row>
    <row r="121" spans="1:17">
      <c r="A121" s="48" t="s">
        <v>78</v>
      </c>
      <c r="B121" s="27"/>
      <c r="C121" s="29">
        <v>0</v>
      </c>
      <c r="D121" s="30">
        <v>0</v>
      </c>
      <c r="E121" s="29">
        <v>0</v>
      </c>
      <c r="F121" s="30">
        <v>0</v>
      </c>
      <c r="G121" s="65">
        <v>0</v>
      </c>
      <c r="H121" s="66">
        <v>27</v>
      </c>
      <c r="I121" s="5"/>
      <c r="J121" s="5"/>
      <c r="K121" s="5"/>
      <c r="L121" s="5"/>
      <c r="M121" s="5"/>
      <c r="N121" s="5"/>
      <c r="O121" s="5"/>
      <c r="P121" s="4"/>
      <c r="Q121" s="4"/>
    </row>
    <row r="122" spans="1:17">
      <c r="A122" s="49" t="s">
        <v>90</v>
      </c>
      <c r="B122" s="24"/>
      <c r="C122" s="25">
        <v>1107</v>
      </c>
      <c r="D122" s="26">
        <f t="shared" ref="D122" si="91">IF(AND(D124="",D123=""),"",C122+D124-D123)</f>
        <v>907.1</v>
      </c>
      <c r="E122" s="26">
        <f t="shared" ref="E122" si="92">IF(AND(E124="",E123=""),"",D122+E124-E123)</f>
        <v>907.1</v>
      </c>
      <c r="F122" s="26">
        <f t="shared" ref="F122" si="93">IF(AND(F124="",F123=""),"",E122+F124-F123)</f>
        <v>907.1</v>
      </c>
      <c r="G122" s="25">
        <f t="shared" ref="G122" si="94">IF(AND(G124="",G123=""),"",F122+G124-G123)</f>
        <v>907.1</v>
      </c>
      <c r="H122" s="25">
        <f t="shared" ref="H122" si="95">IF(AND(H124="",H123=""),"",G122+H124-H123)</f>
        <v>907.1</v>
      </c>
      <c r="I122" s="25" t="str">
        <f t="shared" ref="I122" si="96">IF(AND(I124="",I123=""),"",H122+I124-I123)</f>
        <v/>
      </c>
      <c r="J122" s="25" t="str">
        <f t="shared" ref="J122" si="97">IF(AND(J124="",J123=""),"",I122+J124-J123)</f>
        <v/>
      </c>
      <c r="K122" s="25" t="str">
        <f t="shared" ref="K122" si="98">IF(AND(K124="",K123=""),"",J122+K124-K123)</f>
        <v/>
      </c>
      <c r="L122" s="25" t="str">
        <f t="shared" ref="L122" si="99">IF(AND(L124="",L123=""),"",K122+L124-L123)</f>
        <v/>
      </c>
      <c r="M122" s="25" t="str">
        <f t="shared" ref="M122" si="100">IF(AND(M124="",M123=""),"",L122+M124-M123)</f>
        <v/>
      </c>
      <c r="N122" s="25" t="str">
        <f t="shared" ref="N122" si="101">IF(AND(N124="",N123=""),"",M122+N124-N123)</f>
        <v/>
      </c>
      <c r="O122" s="25" t="e">
        <f>IF(AND(F124="",F123=""),"",N122+F124-F123)</f>
        <v>#VALUE!</v>
      </c>
      <c r="P122" s="34"/>
      <c r="Q122" s="60"/>
    </row>
    <row r="123" spans="1:17">
      <c r="A123" s="48" t="s">
        <v>77</v>
      </c>
      <c r="B123" s="27"/>
      <c r="C123" s="29">
        <v>0</v>
      </c>
      <c r="D123" s="30">
        <v>199.9</v>
      </c>
      <c r="E123" s="29">
        <v>0</v>
      </c>
      <c r="F123" s="30">
        <v>0</v>
      </c>
      <c r="G123" s="65">
        <v>0</v>
      </c>
      <c r="H123" s="66">
        <v>0</v>
      </c>
      <c r="I123" s="5"/>
      <c r="J123" s="5"/>
      <c r="K123" s="5"/>
      <c r="L123" s="5"/>
      <c r="M123" s="5"/>
      <c r="N123" s="5"/>
      <c r="O123" s="5"/>
      <c r="P123" s="4"/>
      <c r="Q123" s="4"/>
    </row>
    <row r="124" spans="1:17">
      <c r="A124" s="48" t="s">
        <v>78</v>
      </c>
      <c r="B124" s="27"/>
      <c r="C124" s="29">
        <v>0</v>
      </c>
      <c r="D124" s="30">
        <v>0</v>
      </c>
      <c r="E124" s="29">
        <v>0</v>
      </c>
      <c r="F124" s="30">
        <v>0</v>
      </c>
      <c r="G124" s="65">
        <v>0</v>
      </c>
      <c r="H124" s="66">
        <v>0</v>
      </c>
      <c r="I124" s="5"/>
      <c r="J124" s="5"/>
      <c r="K124" s="5"/>
      <c r="L124" s="5"/>
      <c r="M124" s="5"/>
      <c r="N124" s="5"/>
      <c r="O124" s="5"/>
      <c r="P124" s="4"/>
      <c r="Q124" s="4"/>
    </row>
    <row r="125" spans="1:17">
      <c r="A125" s="49" t="s">
        <v>91</v>
      </c>
      <c r="B125" s="24"/>
      <c r="C125" s="25">
        <v>10591</v>
      </c>
      <c r="D125" s="26">
        <f t="shared" ref="D125" si="102">IF(AND(D127="",D126=""),"",C125+D127-D126)</f>
        <v>4217</v>
      </c>
      <c r="E125" s="26">
        <f t="shared" ref="E125" si="103">IF(AND(E127="",E126=""),"",D125+E127-E126)</f>
        <v>4217</v>
      </c>
      <c r="F125" s="26">
        <f t="shared" ref="F125" si="104">IF(AND(F127="",F126=""),"",E125+F127-F126)</f>
        <v>4217</v>
      </c>
      <c r="G125" s="25">
        <f t="shared" ref="G125" si="105">IF(AND(G127="",G126=""),"",F125+G127-G126)</f>
        <v>4217</v>
      </c>
      <c r="H125" s="25">
        <f t="shared" ref="H125" si="106">IF(AND(H127="",H126=""),"",G125+H127-H126)</f>
        <v>4217</v>
      </c>
      <c r="I125" s="25" t="str">
        <f t="shared" ref="I125" si="107">IF(AND(I127="",I126=""),"",H125+I127-I126)</f>
        <v/>
      </c>
      <c r="J125" s="25" t="str">
        <f t="shared" ref="J125" si="108">IF(AND(J127="",J126=""),"",I125+J127-J126)</f>
        <v/>
      </c>
      <c r="K125" s="25" t="str">
        <f t="shared" ref="K125" si="109">IF(AND(K127="",K126=""),"",J125+K127-K126)</f>
        <v/>
      </c>
      <c r="L125" s="25" t="str">
        <f t="shared" ref="L125" si="110">IF(AND(L127="",L126=""),"",K125+L127-L126)</f>
        <v/>
      </c>
      <c r="M125" s="25" t="str">
        <f t="shared" ref="M125" si="111">IF(AND(M127="",M126=""),"",L125+M127-M126)</f>
        <v/>
      </c>
      <c r="N125" s="25" t="str">
        <f t="shared" ref="N125" si="112">IF(AND(N127="",N126=""),"",M125+N127-N126)</f>
        <v/>
      </c>
      <c r="O125" s="25" t="e">
        <f>IF(AND(F127="",F126=""),"",N125+F127-F126)</f>
        <v>#VALUE!</v>
      </c>
      <c r="P125" s="34"/>
      <c r="Q125" s="60"/>
    </row>
    <row r="126" spans="1:17">
      <c r="A126" s="48" t="s">
        <v>77</v>
      </c>
      <c r="B126" s="27"/>
      <c r="C126" s="29">
        <v>0</v>
      </c>
      <c r="D126" s="30">
        <v>6374</v>
      </c>
      <c r="E126" s="29">
        <v>0</v>
      </c>
      <c r="F126" s="30">
        <v>0</v>
      </c>
      <c r="G126" s="65">
        <v>0</v>
      </c>
      <c r="H126" s="66">
        <v>0</v>
      </c>
      <c r="I126" s="5"/>
      <c r="J126" s="5"/>
      <c r="K126" s="5"/>
      <c r="L126" s="5"/>
      <c r="M126" s="5"/>
      <c r="N126" s="5"/>
      <c r="O126" s="5"/>
      <c r="P126" s="4"/>
      <c r="Q126" s="4"/>
    </row>
    <row r="127" spans="1:17">
      <c r="A127" s="48" t="s">
        <v>78</v>
      </c>
      <c r="B127" s="27"/>
      <c r="C127" s="29">
        <v>0</v>
      </c>
      <c r="D127" s="30">
        <v>0</v>
      </c>
      <c r="E127" s="29">
        <v>0</v>
      </c>
      <c r="F127" s="30">
        <v>0</v>
      </c>
      <c r="G127" s="65">
        <v>0</v>
      </c>
      <c r="H127" s="66">
        <v>0</v>
      </c>
      <c r="I127" s="5"/>
      <c r="J127" s="5"/>
      <c r="K127" s="5"/>
      <c r="L127" s="2"/>
      <c r="M127" s="2"/>
      <c r="N127" s="2"/>
      <c r="O127" s="2"/>
      <c r="P127" s="3"/>
      <c r="Q127" s="3"/>
    </row>
    <row r="128" spans="1:17">
      <c r="A128" s="49" t="s">
        <v>92</v>
      </c>
      <c r="B128" s="24"/>
      <c r="C128" s="25">
        <v>1006</v>
      </c>
      <c r="D128" s="26">
        <f t="shared" ref="D128" si="113">IF(AND(D130="",D129=""),"",C128+D130-D129)</f>
        <v>1006</v>
      </c>
      <c r="E128" s="26">
        <f t="shared" ref="E128" si="114">IF(AND(E130="",E129=""),"",D128+E130-E129)</f>
        <v>1006</v>
      </c>
      <c r="F128" s="26">
        <f t="shared" ref="F128" si="115">IF(AND(F130="",F129=""),"",E128+F130-F129)</f>
        <v>1006</v>
      </c>
      <c r="G128" s="25">
        <f t="shared" ref="G128" si="116">IF(AND(G130="",G129=""),"",F128+G130-G129)</f>
        <v>1006</v>
      </c>
      <c r="H128" s="25">
        <f t="shared" ref="H128" si="117">IF(AND(H130="",H129=""),"",G128+H130-H129)</f>
        <v>1006</v>
      </c>
      <c r="I128" s="25" t="str">
        <f t="shared" ref="I128" si="118">IF(AND(I130="",I129=""),"",H128+I130-I129)</f>
        <v/>
      </c>
      <c r="J128" s="25" t="str">
        <f t="shared" ref="J128" si="119">IF(AND(J130="",J129=""),"",I128+J130-J129)</f>
        <v/>
      </c>
      <c r="K128" s="25" t="str">
        <f t="shared" ref="K128" si="120">IF(AND(K130="",K129=""),"",J128+K130-K129)</f>
        <v/>
      </c>
      <c r="L128" s="25" t="str">
        <f t="shared" ref="L128" si="121">IF(AND(L130="",L129=""),"",K128+L130-L129)</f>
        <v/>
      </c>
      <c r="M128" s="25" t="str">
        <f t="shared" ref="M128" si="122">IF(AND(M130="",M129=""),"",L128+M130-M129)</f>
        <v/>
      </c>
      <c r="N128" s="25" t="str">
        <f t="shared" ref="N128" si="123">IF(AND(N130="",N129=""),"",M128+N130-N129)</f>
        <v/>
      </c>
      <c r="O128" s="25" t="e">
        <f>IF(AND(F130="",F129=""),"",N128+F130-F129)</f>
        <v>#VALUE!</v>
      </c>
      <c r="P128" s="27"/>
      <c r="Q128" s="58"/>
    </row>
    <row r="129" spans="1:17">
      <c r="A129" s="48" t="s">
        <v>77</v>
      </c>
      <c r="B129" s="27"/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70">
        <v>0</v>
      </c>
      <c r="I129" s="5"/>
      <c r="J129" s="5"/>
      <c r="K129" s="5"/>
      <c r="L129" s="5"/>
      <c r="M129" s="5"/>
      <c r="N129" s="5"/>
      <c r="O129" s="5"/>
      <c r="P129" s="4"/>
      <c r="Q129" s="4"/>
    </row>
    <row r="130" spans="1:17">
      <c r="A130" s="48" t="s">
        <v>78</v>
      </c>
      <c r="B130" s="27"/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70">
        <v>0</v>
      </c>
      <c r="I130" s="5"/>
      <c r="J130" s="5"/>
      <c r="K130" s="5"/>
      <c r="L130" s="5"/>
      <c r="M130" s="2"/>
      <c r="N130" s="2"/>
      <c r="O130" s="2"/>
      <c r="P130" s="3"/>
      <c r="Q130" s="3"/>
    </row>
    <row r="131" spans="1:17">
      <c r="A131" s="49" t="s">
        <v>115</v>
      </c>
      <c r="B131" s="24"/>
      <c r="C131" s="25">
        <v>205</v>
      </c>
      <c r="D131" s="25">
        <f t="shared" ref="D131" si="124">IF(AND(D133="",D132=""),"",C131+D133-D132)</f>
        <v>205</v>
      </c>
      <c r="E131" s="25">
        <f t="shared" ref="E131" si="125">IF(AND(E133="",E132=""),"",D131+E133-E132)</f>
        <v>243.06</v>
      </c>
      <c r="F131" s="25">
        <f t="shared" ref="F131" si="126">IF(AND(F133="",F132=""),"",E131+F133-F132)</f>
        <v>268.06</v>
      </c>
      <c r="G131" s="25">
        <f t="shared" ref="G131" si="127">IF(AND(G133="",G132=""),"",F131+G133-G132)</f>
        <v>283.06</v>
      </c>
      <c r="H131" s="25">
        <f t="shared" ref="H131" si="128">IF(AND(H133="",H132=""),"",G131+H133-H132)</f>
        <v>299.06</v>
      </c>
      <c r="I131" s="25" t="str">
        <f t="shared" ref="I131" si="129">IF(AND(I133="",I132=""),"",H131+I133-I132)</f>
        <v/>
      </c>
      <c r="J131" s="25" t="str">
        <f t="shared" ref="J131" si="130">IF(AND(J133="",J132=""),"",I131+J133-J132)</f>
        <v/>
      </c>
      <c r="K131" s="25" t="str">
        <f t="shared" ref="K131" si="131">IF(AND(K133="",K132=""),"",J131+K133-K132)</f>
        <v/>
      </c>
      <c r="L131" s="25" t="str">
        <f t="shared" ref="L131" si="132">IF(AND(L133="",L132=""),"",K131+L133-L132)</f>
        <v/>
      </c>
      <c r="M131" s="25" t="str">
        <f t="shared" ref="M131" si="133">IF(AND(M133="",M132=""),"",L131+M133-M132)</f>
        <v/>
      </c>
      <c r="N131" s="25" t="str">
        <f t="shared" ref="N131" si="134">IF(AND(N133="",N132=""),"",M131+N133-N132)</f>
        <v/>
      </c>
      <c r="O131" s="25" t="e">
        <f>IF(AND(F133="",F132=""),"",N131+F133-F132)</f>
        <v>#VALUE!</v>
      </c>
      <c r="P131" s="24"/>
      <c r="Q131" s="57"/>
    </row>
    <row r="132" spans="1:17">
      <c r="A132" s="48" t="s">
        <v>77</v>
      </c>
      <c r="B132" s="27"/>
      <c r="C132" s="29">
        <v>0</v>
      </c>
      <c r="D132" s="29">
        <v>0</v>
      </c>
      <c r="E132" s="29">
        <v>0</v>
      </c>
      <c r="F132" s="30">
        <v>0</v>
      </c>
      <c r="G132" s="29">
        <v>0</v>
      </c>
      <c r="H132" s="70">
        <v>0</v>
      </c>
      <c r="I132" s="5"/>
      <c r="J132" s="5"/>
      <c r="K132" s="5"/>
      <c r="L132" s="5"/>
      <c r="M132" s="2"/>
      <c r="N132" s="2"/>
      <c r="O132" s="2"/>
      <c r="P132" s="3"/>
      <c r="Q132" s="3"/>
    </row>
    <row r="133" spans="1:17">
      <c r="A133" s="48" t="s">
        <v>78</v>
      </c>
      <c r="B133" s="27"/>
      <c r="C133" s="29">
        <v>0</v>
      </c>
      <c r="D133" s="29">
        <v>0</v>
      </c>
      <c r="E133" s="29">
        <v>38.06</v>
      </c>
      <c r="F133" s="30">
        <v>25</v>
      </c>
      <c r="G133" s="29">
        <v>15</v>
      </c>
      <c r="H133" s="70">
        <v>16</v>
      </c>
      <c r="I133" s="5"/>
      <c r="J133" s="5"/>
      <c r="K133" s="5"/>
      <c r="L133" s="5"/>
      <c r="M133" s="2"/>
      <c r="N133" s="2"/>
      <c r="O133" s="2"/>
      <c r="P133" s="3"/>
      <c r="Q133" s="3"/>
    </row>
    <row r="134" spans="1:17">
      <c r="A134" s="49" t="s">
        <v>122</v>
      </c>
      <c r="B134" s="24"/>
      <c r="C134" s="25">
        <v>0</v>
      </c>
      <c r="D134" s="25">
        <f t="shared" ref="D134" si="135">IF(AND(D136="",D135=""),"",C134+D136-D135)</f>
        <v>0</v>
      </c>
      <c r="E134" s="25">
        <v>0</v>
      </c>
      <c r="F134" s="25">
        <v>0</v>
      </c>
      <c r="G134" s="25">
        <f t="shared" ref="G134" si="136">IF(AND(G136="",G135=""),"",F134+G136-G135)</f>
        <v>0</v>
      </c>
      <c r="H134" s="25">
        <f t="shared" ref="H134" si="137">IF(AND(H136="",H135=""),"",G134+H136-H135)</f>
        <v>0</v>
      </c>
      <c r="I134" s="25" t="str">
        <f t="shared" ref="I134" si="138">IF(AND(I136="",I135=""),"",H134+I136-I135)</f>
        <v/>
      </c>
      <c r="J134" s="25" t="str">
        <f t="shared" ref="J134" si="139">IF(AND(J136="",J135=""),"",I134+J136-J135)</f>
        <v/>
      </c>
      <c r="K134" s="25" t="str">
        <f t="shared" ref="K134" si="140">IF(AND(K136="",K135=""),"",J134+K136-K135)</f>
        <v/>
      </c>
      <c r="L134" s="25" t="str">
        <f t="shared" ref="L134" si="141">IF(AND(L136="",L135=""),"",K134+L136-L135)</f>
        <v/>
      </c>
      <c r="M134" s="25" t="str">
        <f t="shared" ref="M134" si="142">IF(AND(M136="",M135=""),"",L134+M136-M135)</f>
        <v/>
      </c>
      <c r="N134" s="25" t="str">
        <f t="shared" ref="N134" si="143">IF(AND(N136="",N135=""),"",M134+N136-N135)</f>
        <v/>
      </c>
      <c r="O134" s="25" t="e">
        <f>IF(AND(F136="",F135=""),"",N134+F136-F135)</f>
        <v>#VALUE!</v>
      </c>
      <c r="P134" s="24"/>
      <c r="Q134" s="57"/>
    </row>
    <row r="135" spans="1:17">
      <c r="A135" s="48" t="s">
        <v>77</v>
      </c>
      <c r="B135" s="27"/>
      <c r="C135" s="29">
        <v>0</v>
      </c>
      <c r="D135" s="29">
        <v>0</v>
      </c>
      <c r="E135" s="29">
        <v>0</v>
      </c>
      <c r="F135" s="30">
        <v>0</v>
      </c>
      <c r="G135" s="29">
        <v>0</v>
      </c>
      <c r="H135" s="70">
        <v>0</v>
      </c>
      <c r="I135" s="5"/>
      <c r="J135" s="5"/>
      <c r="K135" s="5"/>
      <c r="L135" s="5"/>
      <c r="M135" s="2"/>
      <c r="N135" s="2"/>
      <c r="O135" s="2"/>
      <c r="P135" s="3"/>
      <c r="Q135" s="3"/>
    </row>
    <row r="136" spans="1:17">
      <c r="A136" s="48" t="s">
        <v>78</v>
      </c>
      <c r="B136" s="27"/>
      <c r="C136" s="29">
        <v>0</v>
      </c>
      <c r="D136" s="29">
        <v>0</v>
      </c>
      <c r="E136" s="29">
        <v>0</v>
      </c>
      <c r="F136" s="30">
        <v>0</v>
      </c>
      <c r="G136" s="29">
        <v>0</v>
      </c>
      <c r="H136" s="70">
        <v>0</v>
      </c>
      <c r="I136" s="5"/>
      <c r="J136" s="5"/>
      <c r="K136" s="5"/>
      <c r="L136" s="5"/>
      <c r="M136" s="2"/>
      <c r="N136" s="2"/>
      <c r="O136" s="2"/>
      <c r="P136" s="3"/>
      <c r="Q136" s="3"/>
    </row>
    <row r="137" spans="1:17">
      <c r="A137" s="49" t="s">
        <v>93</v>
      </c>
      <c r="B137" s="24"/>
      <c r="C137" s="25">
        <v>18114</v>
      </c>
      <c r="D137" s="25">
        <f>IF(OR(D104="",D107="",D110="",D113="",D116="",D119="",D122="",D125="",D128="",D131=""),"",D104+D107+D110+D113+D116+D119+D122+D125+D128+D131)</f>
        <v>11534.5</v>
      </c>
      <c r="E137" s="25">
        <f>IF(OR(E104="",E107="",E110="",E113="",E116="",E119="",E122="",E125="",E128="",E131=""),"",E104+E107+E110+E113+E116+E119+E122+E125+E128+E131)</f>
        <v>11452.33</v>
      </c>
      <c r="F137" s="25">
        <f>IF(OR(F104="",F107="",F110="",F113="",F116="",F119="",F122="",F125="",F128="",F131=""),"",F104+F107+F110+F113+F116+F119+F122+F125+F128+F131)</f>
        <v>11477.33</v>
      </c>
      <c r="G137" s="25">
        <f>IF(OR(G104="",G107="",G110="",G113="",G116="",G119="",G122="",G125="",G128="",G131=""),"",G104+G107+G110+G113+G116+G119+G122+G125+G128+G131)</f>
        <v>11492.33</v>
      </c>
      <c r="H137" s="25">
        <f>IF(OR(H104="",H107="",H110="",H113="",H116="",H119="",H122="",H125="",H128="",H131=""),"",H104+H107+H110+H113+H116+H119+H122+H125+H128+H131)</f>
        <v>11535.33</v>
      </c>
      <c r="I137" s="25" t="str">
        <f>IF(OR(I104="",I107="",I110="",I113="",I116="",I119="",I122="",I125="",I128="",I131=""),"",I104+I107+I110+I113+I116+I119+I122+I125+I128+I131)</f>
        <v/>
      </c>
      <c r="J137" s="25" t="str">
        <f>IF(OR(J104="",J107="",J110="",J113="",J116="",J119="",J122="",J125="",J128="",J131=""),"",J104+J107+J110+J113+J116+J119+J122+J125+J128+J131)</f>
        <v/>
      </c>
      <c r="K137" s="25" t="str">
        <f>IF(OR(K104="",K107="",K110="",K113="",K116="",K119="",K122="",K125="",K128="",K131=""),"",K104+K107+K110+K113+K116+K119+K122+K125+K128+K131)</f>
        <v/>
      </c>
      <c r="L137" s="25" t="str">
        <f>IF(OR(L104="",L107="",L110="",L113="",L116="",L119="",L122="",L125="",L128="",L131=""),"",L104+L107+L110+L113+L116+L119+L122+L125+L128+L131)</f>
        <v/>
      </c>
      <c r="M137" s="25" t="str">
        <f>IF(OR(M104="",M107="",M110="",M113="",M116="",M119="",M122="",M125="",M128="",M131=""),"",M104+M107+M110+M113+M116+M119+M122+M125+M128+M131)</f>
        <v/>
      </c>
      <c r="N137" s="25" t="str">
        <f>IF(OR(N104="",N107="",N110="",N113="",N116="",N119="",N122="",N125="",N128="",N131=""),"",N104+N107+N110+N113+N116+N119+N122+N125+N128+N131)</f>
        <v/>
      </c>
      <c r="O137" s="25" t="e">
        <f>IF(OR(O104="",O107="",O110="",O113="",O116="",O119="",O122="",O125="",O128="",O131=""),"",O104+O107+O110+O113+O116+O119+O122+O125+O128+O131)</f>
        <v>#VALUE!</v>
      </c>
      <c r="P137" s="27"/>
      <c r="Q137" s="58"/>
    </row>
    <row r="138" spans="1:17">
      <c r="A138" s="49"/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9"/>
      <c r="Q138" s="56"/>
    </row>
    <row r="139" spans="1:17">
      <c r="A139" s="49" t="s">
        <v>94</v>
      </c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56"/>
    </row>
    <row r="140" spans="1:17">
      <c r="A140" s="48"/>
      <c r="B140" s="27"/>
      <c r="C140" s="25" t="s">
        <v>11</v>
      </c>
      <c r="D140" s="25" t="s">
        <v>0</v>
      </c>
      <c r="E140" s="25" t="s">
        <v>1</v>
      </c>
      <c r="F140" s="25" t="s">
        <v>2</v>
      </c>
      <c r="G140" s="25" t="s">
        <v>3</v>
      </c>
      <c r="H140" s="25" t="s">
        <v>4</v>
      </c>
      <c r="I140" s="25" t="s">
        <v>5</v>
      </c>
      <c r="J140" s="25" t="s">
        <v>6</v>
      </c>
      <c r="K140" s="25" t="s">
        <v>7</v>
      </c>
      <c r="L140" s="25" t="s">
        <v>8</v>
      </c>
      <c r="M140" s="25" t="s">
        <v>9</v>
      </c>
      <c r="N140" s="25" t="s">
        <v>10</v>
      </c>
      <c r="O140" s="25" t="s">
        <v>11</v>
      </c>
      <c r="P140" s="29"/>
      <c r="Q140" s="56"/>
    </row>
    <row r="141" spans="1:17">
      <c r="A141" s="49" t="s">
        <v>95</v>
      </c>
      <c r="B141" s="27"/>
      <c r="C141" s="25">
        <v>495</v>
      </c>
      <c r="D141" s="26">
        <f t="shared" ref="D141" si="144">IF(AND(D143="",D143=""),"",C141+D143-D142)</f>
        <v>495</v>
      </c>
      <c r="E141" s="26">
        <f t="shared" ref="E141" si="145">IF(AND(E143="",E143=""),"",D141+E143-E142)</f>
        <v>495</v>
      </c>
      <c r="F141" s="26">
        <f t="shared" ref="F141" si="146">IF(AND(F143="",F143=""),"",E141+F143-F142)</f>
        <v>515</v>
      </c>
      <c r="G141" s="25">
        <f t="shared" ref="G141" si="147">IF(AND(G143="",G143=""),"",F141+G143-G142)</f>
        <v>515</v>
      </c>
      <c r="H141" s="25">
        <f t="shared" ref="H141" si="148">IF(AND(H143="",H143=""),"",G141+H143-H142)</f>
        <v>1011.25</v>
      </c>
      <c r="I141" s="25" t="str">
        <f t="shared" ref="I141" si="149">IF(AND(I143="",I143=""),"",H141+I143-I142)</f>
        <v/>
      </c>
      <c r="J141" s="25" t="str">
        <f t="shared" ref="J141" si="150">IF(AND(J143="",J143=""),"",I141+J143-J142)</f>
        <v/>
      </c>
      <c r="K141" s="25" t="str">
        <f t="shared" ref="K141" si="151">IF(AND(K143="",K143=""),"",J141+K143-K142)</f>
        <v/>
      </c>
      <c r="L141" s="25" t="str">
        <f t="shared" ref="L141" si="152">IF(AND(L143="",L143=""),"",K141+L143-L142)</f>
        <v/>
      </c>
      <c r="M141" s="25" t="str">
        <f t="shared" ref="M141" si="153">IF(AND(M143="",M143=""),"",L141+M143-M142)</f>
        <v/>
      </c>
      <c r="N141" s="25" t="str">
        <f t="shared" ref="N141" si="154">IF(AND(N143="",N143=""),"",M141+N143-N142)</f>
        <v/>
      </c>
      <c r="O141" s="25" t="str">
        <f t="shared" ref="O141" si="155">IF(AND(O143="",O143=""),"",N141+O143-O142)</f>
        <v/>
      </c>
      <c r="P141" s="27"/>
      <c r="Q141" s="58"/>
    </row>
    <row r="142" spans="1:17">
      <c r="A142" s="48" t="s">
        <v>77</v>
      </c>
      <c r="B142" s="27"/>
      <c r="C142" s="29">
        <v>0</v>
      </c>
      <c r="D142" s="30">
        <v>0</v>
      </c>
      <c r="E142" s="29">
        <v>0</v>
      </c>
      <c r="F142" s="30">
        <v>434</v>
      </c>
      <c r="G142" s="29">
        <v>0</v>
      </c>
      <c r="H142" s="70">
        <v>0</v>
      </c>
      <c r="I142" s="5"/>
      <c r="J142" s="5"/>
      <c r="K142" s="5"/>
      <c r="L142" s="5"/>
      <c r="M142" s="5"/>
      <c r="N142" s="5"/>
      <c r="O142" s="5"/>
      <c r="P142" s="4"/>
      <c r="Q142" s="4"/>
    </row>
    <row r="143" spans="1:17">
      <c r="A143" s="48" t="s">
        <v>78</v>
      </c>
      <c r="B143" s="27"/>
      <c r="C143" s="29">
        <v>0</v>
      </c>
      <c r="D143" s="30">
        <v>0</v>
      </c>
      <c r="E143" s="29">
        <v>0</v>
      </c>
      <c r="F143" s="30">
        <v>454</v>
      </c>
      <c r="G143" s="29">
        <v>0</v>
      </c>
      <c r="H143" s="70">
        <v>496.25</v>
      </c>
      <c r="I143" s="5"/>
      <c r="J143" s="5"/>
      <c r="K143" s="5"/>
      <c r="L143" s="5"/>
      <c r="M143" s="5"/>
      <c r="N143" s="5"/>
      <c r="O143" s="5"/>
      <c r="P143" s="4"/>
      <c r="Q143" s="4"/>
    </row>
    <row r="144" spans="1:17">
      <c r="A144" s="49" t="s">
        <v>96</v>
      </c>
      <c r="B144" s="27"/>
      <c r="C144" s="25">
        <v>4173</v>
      </c>
      <c r="D144" s="26">
        <f t="shared" ref="D144" si="156">IF(AND(D146="",D146=""),"",C144+D146-D145)</f>
        <v>4173</v>
      </c>
      <c r="E144" s="26">
        <f t="shared" ref="E144" si="157">IF(AND(E146="",E146=""),"",D144+E146-E145)</f>
        <v>4141.5</v>
      </c>
      <c r="F144" s="26">
        <f t="shared" ref="F144" si="158">IF(AND(F146="",F146=""),"",E144+F146-F145)</f>
        <v>4014.53</v>
      </c>
      <c r="G144" s="25">
        <f t="shared" ref="G144" si="159">IF(AND(G146="",G146=""),"",F144+G146-G145)</f>
        <v>4014.53</v>
      </c>
      <c r="H144" s="25">
        <f t="shared" ref="H144" si="160">IF(AND(H146="",H146=""),"",G144+H146-H145)</f>
        <v>4070.4900000000002</v>
      </c>
      <c r="I144" s="25" t="str">
        <f t="shared" ref="I144" si="161">IF(AND(I146="",I146=""),"",H144+I146-I145)</f>
        <v/>
      </c>
      <c r="J144" s="25" t="str">
        <f t="shared" ref="J144" si="162">IF(AND(J146="",J146=""),"",I144+J146-J145)</f>
        <v/>
      </c>
      <c r="K144" s="25" t="str">
        <f t="shared" ref="K144" si="163">IF(AND(K146="",K146=""),"",J144+K146-K145)</f>
        <v/>
      </c>
      <c r="L144" s="25" t="str">
        <f t="shared" ref="L144" si="164">IF(AND(L146="",L146=""),"",K144+L146-L145)</f>
        <v/>
      </c>
      <c r="M144" s="25" t="str">
        <f t="shared" ref="M144" si="165">IF(AND(M146="",M146=""),"",L144+M146-M145)</f>
        <v/>
      </c>
      <c r="N144" s="25" t="str">
        <f t="shared" ref="N144" si="166">IF(AND(N146="",N146=""),"",M144+N146-N145)</f>
        <v/>
      </c>
      <c r="O144" s="25" t="str">
        <f t="shared" ref="O144" si="167">IF(AND(O146="",O146=""),"",N144+O146-O145)</f>
        <v/>
      </c>
      <c r="P144" s="27"/>
      <c r="Q144" s="58"/>
    </row>
    <row r="145" spans="1:17">
      <c r="A145" s="48" t="s">
        <v>77</v>
      </c>
      <c r="B145" s="27"/>
      <c r="C145" s="29">
        <v>0</v>
      </c>
      <c r="D145" s="29">
        <v>0</v>
      </c>
      <c r="E145" s="29">
        <v>31.5</v>
      </c>
      <c r="F145" s="30">
        <v>126.97</v>
      </c>
      <c r="G145" s="29">
        <v>0</v>
      </c>
      <c r="H145" s="70">
        <v>0</v>
      </c>
      <c r="I145" s="5"/>
      <c r="J145" s="5"/>
      <c r="K145" s="5"/>
      <c r="L145" s="5"/>
      <c r="M145" s="5"/>
      <c r="N145" s="5"/>
      <c r="O145" s="5"/>
      <c r="P145" s="4"/>
      <c r="Q145" s="4"/>
    </row>
    <row r="146" spans="1:17">
      <c r="A146" s="48" t="s">
        <v>78</v>
      </c>
      <c r="B146" s="27"/>
      <c r="C146" s="29">
        <v>0</v>
      </c>
      <c r="D146" s="29">
        <v>0</v>
      </c>
      <c r="E146" s="29">
        <v>0</v>
      </c>
      <c r="F146" s="30">
        <v>0</v>
      </c>
      <c r="G146" s="29">
        <v>0</v>
      </c>
      <c r="H146" s="70">
        <v>55.96</v>
      </c>
      <c r="I146" s="5"/>
      <c r="J146" s="5"/>
      <c r="K146" s="5"/>
      <c r="L146" s="5"/>
      <c r="M146" s="5"/>
      <c r="N146" s="5"/>
      <c r="O146" s="5"/>
      <c r="P146" s="4"/>
      <c r="Q146" s="4"/>
    </row>
    <row r="147" spans="1:17">
      <c r="A147" s="49" t="s">
        <v>97</v>
      </c>
      <c r="B147" s="27"/>
      <c r="C147" s="25">
        <v>3264</v>
      </c>
      <c r="D147" s="26">
        <f t="shared" ref="D147" si="168">IF(AND(D149="",D149=""),"",C147+D149-D148)</f>
        <v>3264</v>
      </c>
      <c r="E147" s="26">
        <f t="shared" ref="E147" si="169">IF(AND(E149="",E149=""),"",D147+E149-E148)</f>
        <v>3264</v>
      </c>
      <c r="F147" s="26">
        <f t="shared" ref="F147" si="170">IF(AND(F149="",F149=""),"",E147+F149-F148)</f>
        <v>3189</v>
      </c>
      <c r="G147" s="25">
        <f t="shared" ref="G147" si="171">IF(AND(G149="",G149=""),"",F147+G149-G148)</f>
        <v>3189</v>
      </c>
      <c r="H147" s="25">
        <f t="shared" ref="H147" si="172">IF(AND(H149="",H149=""),"",G147+H149-H148)</f>
        <v>3189</v>
      </c>
      <c r="I147" s="25" t="str">
        <f t="shared" ref="I147" si="173">IF(AND(I149="",I149=""),"",H147+I149-I148)</f>
        <v/>
      </c>
      <c r="J147" s="25" t="str">
        <f t="shared" ref="J147" si="174">IF(AND(J149="",J149=""),"",I147+J149-J148)</f>
        <v/>
      </c>
      <c r="K147" s="25" t="str">
        <f t="shared" ref="K147" si="175">IF(AND(K149="",K149=""),"",J147+K149-K148)</f>
        <v/>
      </c>
      <c r="L147" s="25" t="str">
        <f t="shared" ref="L147" si="176">IF(AND(L149="",L149=""),"",K147+L149-L148)</f>
        <v/>
      </c>
      <c r="M147" s="25" t="str">
        <f t="shared" ref="M147" si="177">IF(AND(M149="",M149=""),"",L147+M149-M148)</f>
        <v/>
      </c>
      <c r="N147" s="25" t="str">
        <f t="shared" ref="N147" si="178">IF(AND(N149="",N149=""),"",M147+N149-N148)</f>
        <v/>
      </c>
      <c r="O147" s="25" t="str">
        <f t="shared" ref="O147" si="179">IF(AND(O149="",O149=""),"",N147+O149-O148)</f>
        <v/>
      </c>
      <c r="P147" s="27"/>
      <c r="Q147" s="58"/>
    </row>
    <row r="148" spans="1:17">
      <c r="A148" s="48" t="s">
        <v>77</v>
      </c>
      <c r="B148" s="27"/>
      <c r="C148" s="29">
        <v>0</v>
      </c>
      <c r="D148" s="30">
        <v>0</v>
      </c>
      <c r="E148" s="29">
        <v>0</v>
      </c>
      <c r="F148" s="30">
        <v>100</v>
      </c>
      <c r="G148" s="29">
        <v>0</v>
      </c>
      <c r="H148" s="70">
        <v>0</v>
      </c>
      <c r="I148" s="5"/>
      <c r="J148" s="5"/>
      <c r="K148" s="5"/>
      <c r="L148" s="5"/>
      <c r="M148" s="5"/>
      <c r="N148" s="5"/>
      <c r="O148" s="5"/>
      <c r="P148" s="4"/>
      <c r="Q148" s="4"/>
    </row>
    <row r="149" spans="1:17">
      <c r="A149" s="48" t="s">
        <v>78</v>
      </c>
      <c r="B149" s="27"/>
      <c r="C149" s="29">
        <v>0</v>
      </c>
      <c r="D149" s="30">
        <v>0</v>
      </c>
      <c r="E149" s="29">
        <v>0</v>
      </c>
      <c r="F149" s="30">
        <v>25</v>
      </c>
      <c r="G149" s="29">
        <v>0</v>
      </c>
      <c r="H149" s="70">
        <v>0</v>
      </c>
      <c r="I149" s="5"/>
      <c r="J149" s="5"/>
      <c r="K149" s="5"/>
      <c r="L149" s="5"/>
      <c r="M149" s="5"/>
      <c r="N149" s="5"/>
      <c r="O149" s="5"/>
      <c r="P149" s="4"/>
      <c r="Q149" s="4"/>
    </row>
    <row r="150" spans="1:17">
      <c r="A150" s="49" t="s">
        <v>98</v>
      </c>
      <c r="B150" s="27"/>
      <c r="C150" s="25">
        <v>1015</v>
      </c>
      <c r="D150" s="26">
        <f t="shared" ref="D150" si="180">IF(AND(D152="",D152=""),"",C150+D152-D151)</f>
        <v>1015</v>
      </c>
      <c r="E150" s="26">
        <f t="shared" ref="E150" si="181">IF(AND(E152="",E152=""),"",D150+E152-E151)</f>
        <v>1015</v>
      </c>
      <c r="F150" s="26">
        <f t="shared" ref="F150" si="182">IF(AND(F152="",F152=""),"",E150+F152-F151)</f>
        <v>1015</v>
      </c>
      <c r="G150" s="25">
        <f t="shared" ref="G150" si="183">IF(AND(G152="",G152=""),"",F150+G152-G151)</f>
        <v>1015</v>
      </c>
      <c r="H150" s="25">
        <f t="shared" ref="H150" si="184">IF(AND(H152="",H152=""),"",G150+H152-H151)</f>
        <v>1015</v>
      </c>
      <c r="I150" s="25" t="str">
        <f t="shared" ref="I150" si="185">IF(AND(I152="",I152=""),"",H150+I152-I151)</f>
        <v/>
      </c>
      <c r="J150" s="25" t="str">
        <f t="shared" ref="J150" si="186">IF(AND(J152="",J152=""),"",I150+J152-J151)</f>
        <v/>
      </c>
      <c r="K150" s="25" t="str">
        <f t="shared" ref="K150" si="187">IF(AND(K152="",K152=""),"",J150+K152-K151)</f>
        <v/>
      </c>
      <c r="L150" s="25" t="str">
        <f t="shared" ref="L150" si="188">IF(AND(L152="",L152=""),"",K150+L152-L151)</f>
        <v/>
      </c>
      <c r="M150" s="25" t="str">
        <f t="shared" ref="M150" si="189">IF(AND(M152="",M152=""),"",L150+M152-M151)</f>
        <v/>
      </c>
      <c r="N150" s="25" t="str">
        <f t="shared" ref="N150" si="190">IF(AND(N152="",N152=""),"",M150+N152-N151)</f>
        <v/>
      </c>
      <c r="O150" s="25" t="str">
        <f t="shared" ref="O150" si="191">IF(AND(O152="",O152=""),"",N150+O152-O151)</f>
        <v/>
      </c>
      <c r="P150" s="27"/>
      <c r="Q150" s="58"/>
    </row>
    <row r="151" spans="1:17">
      <c r="A151" s="48" t="s">
        <v>77</v>
      </c>
      <c r="B151" s="27"/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70">
        <v>0</v>
      </c>
      <c r="I151" s="5"/>
      <c r="J151" s="5"/>
      <c r="K151" s="5"/>
      <c r="L151" s="5"/>
      <c r="M151" s="5"/>
      <c r="N151" s="5"/>
      <c r="O151" s="5"/>
      <c r="P151" s="4"/>
      <c r="Q151" s="4"/>
    </row>
    <row r="152" spans="1:17">
      <c r="A152" s="48" t="s">
        <v>78</v>
      </c>
      <c r="B152" s="27"/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70">
        <v>0</v>
      </c>
      <c r="I152" s="5"/>
      <c r="J152" s="5"/>
      <c r="K152" s="5"/>
      <c r="L152" s="5"/>
      <c r="M152" s="5"/>
      <c r="N152" s="5"/>
      <c r="O152" s="5"/>
      <c r="P152" s="4"/>
      <c r="Q152" s="4"/>
    </row>
    <row r="153" spans="1:17">
      <c r="A153" s="49" t="s">
        <v>99</v>
      </c>
      <c r="B153" s="24"/>
      <c r="C153" s="25">
        <v>780</v>
      </c>
      <c r="D153" s="26">
        <f t="shared" ref="D153" si="192">IF(AND(D155="",D155=""),"",C153+D155-D154)</f>
        <v>780</v>
      </c>
      <c r="E153" s="26">
        <f t="shared" ref="E153" si="193">IF(AND(E155="",E155=""),"",D153+E155-E154)</f>
        <v>1180</v>
      </c>
      <c r="F153" s="26">
        <f t="shared" ref="F153" si="194">IF(AND(F155="",F155=""),"",E153+F155-F154)</f>
        <v>1180</v>
      </c>
      <c r="G153" s="25">
        <f t="shared" ref="G153" si="195">IF(AND(G155="",G155=""),"",F153+G155-G154)</f>
        <v>1255</v>
      </c>
      <c r="H153" s="25">
        <f t="shared" ref="H153" si="196">IF(AND(H155="",H155=""),"",G153+H155-H154)</f>
        <v>1255</v>
      </c>
      <c r="I153" s="25" t="str">
        <f t="shared" ref="I153" si="197">IF(AND(I155="",I155=""),"",H153+I155-I154)</f>
        <v/>
      </c>
      <c r="J153" s="25" t="str">
        <f t="shared" ref="J153" si="198">IF(AND(J155="",J155=""),"",I153+J155-J154)</f>
        <v/>
      </c>
      <c r="K153" s="25" t="str">
        <f t="shared" ref="K153" si="199">IF(AND(K155="",K155=""),"",J153+K155-K154)</f>
        <v/>
      </c>
      <c r="L153" s="25" t="str">
        <f t="shared" ref="L153" si="200">IF(AND(L155="",L155=""),"",K153+L155-L154)</f>
        <v/>
      </c>
      <c r="M153" s="25" t="str">
        <f t="shared" ref="M153" si="201">IF(AND(M155="",M155=""),"",L153+M155-M154)</f>
        <v/>
      </c>
      <c r="N153" s="25" t="str">
        <f t="shared" ref="N153" si="202">IF(AND(N155="",N155=""),"",M153+N155-N154)</f>
        <v/>
      </c>
      <c r="O153" s="25" t="str">
        <f t="shared" ref="O153" si="203">IF(AND(O155="",O155=""),"",N153+O155-O154)</f>
        <v/>
      </c>
      <c r="P153" s="24"/>
      <c r="Q153" s="57"/>
    </row>
    <row r="154" spans="1:17">
      <c r="A154" s="52" t="s">
        <v>84</v>
      </c>
      <c r="B154" s="27"/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70">
        <v>0</v>
      </c>
      <c r="I154" s="5"/>
      <c r="J154" s="5"/>
      <c r="K154" s="5"/>
      <c r="L154" s="5"/>
      <c r="M154" s="5"/>
      <c r="N154" s="5"/>
      <c r="O154" s="5"/>
      <c r="P154" s="4"/>
      <c r="Q154" s="4"/>
    </row>
    <row r="155" spans="1:17">
      <c r="A155" s="52" t="s">
        <v>85</v>
      </c>
      <c r="B155" s="27"/>
      <c r="C155" s="29">
        <v>0</v>
      </c>
      <c r="D155" s="30">
        <v>0</v>
      </c>
      <c r="E155" s="29">
        <v>400</v>
      </c>
      <c r="F155" s="30">
        <v>0</v>
      </c>
      <c r="G155" s="29">
        <v>75</v>
      </c>
      <c r="H155" s="70">
        <v>0</v>
      </c>
      <c r="I155" s="5"/>
      <c r="J155" s="5"/>
      <c r="K155" s="5"/>
      <c r="L155" s="5"/>
      <c r="M155" s="5"/>
      <c r="N155" s="5"/>
      <c r="O155" s="5"/>
      <c r="P155" s="4"/>
      <c r="Q155" s="4"/>
    </row>
    <row r="156" spans="1:17">
      <c r="A156" s="49" t="s">
        <v>100</v>
      </c>
      <c r="B156" s="24"/>
      <c r="C156" s="25">
        <v>305</v>
      </c>
      <c r="D156" s="26">
        <f t="shared" ref="D156" si="204">IF(AND(D158="",D158=""),"",C156+D158-D157)</f>
        <v>305</v>
      </c>
      <c r="E156" s="26">
        <f t="shared" ref="E156" si="205">IF(AND(E158="",E158=""),"",D156+E158-E157)</f>
        <v>305</v>
      </c>
      <c r="F156" s="26">
        <f t="shared" ref="F156" si="206">IF(AND(F158="",F158=""),"",E156+F158-F157)</f>
        <v>305</v>
      </c>
      <c r="G156" s="25">
        <f t="shared" ref="G156" si="207">IF(AND(G158="",G158=""),"",F156+G158-G157)</f>
        <v>305</v>
      </c>
      <c r="H156" s="25">
        <f t="shared" ref="H156" si="208">IF(AND(H158="",H158=""),"",G156+H158-H157)</f>
        <v>305</v>
      </c>
      <c r="I156" s="25" t="str">
        <f t="shared" ref="I156" si="209">IF(AND(I158="",I158=""),"",H156+I158-I157)</f>
        <v/>
      </c>
      <c r="J156" s="25" t="str">
        <f t="shared" ref="J156" si="210">IF(AND(J158="",J158=""),"",I156+J158-J157)</f>
        <v/>
      </c>
      <c r="K156" s="25" t="str">
        <f t="shared" ref="K156" si="211">IF(AND(K158="",K158=""),"",J156+K158-K157)</f>
        <v/>
      </c>
      <c r="L156" s="25" t="str">
        <f t="shared" ref="L156" si="212">IF(AND(L158="",L158=""),"",K156+L158-L157)</f>
        <v/>
      </c>
      <c r="M156" s="25" t="str">
        <f t="shared" ref="M156" si="213">IF(AND(M158="",M158=""),"",L156+M158-M157)</f>
        <v/>
      </c>
      <c r="N156" s="25" t="str">
        <f t="shared" ref="N156" si="214">IF(AND(N158="",N158=""),"",M156+N158-N157)</f>
        <v/>
      </c>
      <c r="O156" s="25" t="str">
        <f t="shared" ref="O156" si="215">IF(AND(O158="",O158=""),"",N156+O158-O157)</f>
        <v/>
      </c>
      <c r="P156" s="24"/>
      <c r="Q156" s="57"/>
    </row>
    <row r="157" spans="1:17">
      <c r="A157" s="52" t="s">
        <v>84</v>
      </c>
      <c r="B157" s="27"/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70">
        <v>0</v>
      </c>
      <c r="I157" s="5"/>
      <c r="J157" s="5"/>
      <c r="K157" s="5"/>
      <c r="L157" s="5"/>
      <c r="M157" s="5"/>
      <c r="N157" s="5"/>
      <c r="O157" s="5"/>
      <c r="P157" s="4"/>
      <c r="Q157" s="4"/>
    </row>
    <row r="158" spans="1:17">
      <c r="A158" s="52" t="s">
        <v>85</v>
      </c>
      <c r="B158" s="27"/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70">
        <v>0</v>
      </c>
      <c r="I158" s="5"/>
      <c r="J158" s="5"/>
      <c r="K158" s="5"/>
      <c r="L158" s="5"/>
      <c r="M158" s="2"/>
      <c r="N158" s="2"/>
      <c r="O158" s="2"/>
      <c r="P158" s="3"/>
      <c r="Q158" s="3"/>
    </row>
    <row r="159" spans="1:17">
      <c r="A159" s="49" t="s">
        <v>101</v>
      </c>
      <c r="B159" s="24"/>
      <c r="C159" s="25">
        <v>313</v>
      </c>
      <c r="D159" s="26">
        <f t="shared" ref="D159" si="216">IF(AND(D161="",D161=""),"",C159+D161-D160)</f>
        <v>313</v>
      </c>
      <c r="E159" s="26">
        <f t="shared" ref="E159" si="217">IF(AND(E161="",E161=""),"",D159+E161-E160)</f>
        <v>313</v>
      </c>
      <c r="F159" s="26">
        <f t="shared" ref="F159" si="218">IF(AND(F161="",F161=""),"",E159+F161-F160)</f>
        <v>313</v>
      </c>
      <c r="G159" s="25">
        <f t="shared" ref="G159" si="219">IF(AND(G161="",G161=""),"",F159+G161-G160)</f>
        <v>313</v>
      </c>
      <c r="H159" s="25">
        <f t="shared" ref="H159" si="220">IF(AND(H161="",H161=""),"",G159+H161-H160)</f>
        <v>313</v>
      </c>
      <c r="I159" s="25" t="str">
        <f t="shared" ref="I159" si="221">IF(AND(I161="",I161=""),"",H159+I161-I160)</f>
        <v/>
      </c>
      <c r="J159" s="25" t="str">
        <f t="shared" ref="J159" si="222">IF(AND(J161="",J161=""),"",I159+J161-J160)</f>
        <v/>
      </c>
      <c r="K159" s="25" t="str">
        <f t="shared" ref="K159" si="223">IF(AND(K161="",K161=""),"",J159+K161-K160)</f>
        <v/>
      </c>
      <c r="L159" s="25" t="str">
        <f t="shared" ref="L159" si="224">IF(AND(L161="",L161=""),"",K159+L161-L160)</f>
        <v/>
      </c>
      <c r="M159" s="25" t="str">
        <f t="shared" ref="M159" si="225">IF(AND(M161="",M161=""),"",L159+M161-M160)</f>
        <v/>
      </c>
      <c r="N159" s="25" t="str">
        <f t="shared" ref="N159" si="226">IF(AND(N161="",N161=""),"",M159+N161-N160)</f>
        <v/>
      </c>
      <c r="O159" s="25" t="str">
        <f t="shared" ref="O159" si="227">IF(AND(O161="",O161=""),"",N159+O161-O160)</f>
        <v/>
      </c>
      <c r="P159" s="24"/>
      <c r="Q159" s="57"/>
    </row>
    <row r="160" spans="1:17">
      <c r="A160" s="52" t="s">
        <v>84</v>
      </c>
      <c r="B160" s="27"/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70">
        <v>0</v>
      </c>
      <c r="I160" s="5"/>
      <c r="J160" s="5"/>
      <c r="K160" s="5"/>
      <c r="L160" s="5"/>
      <c r="M160" s="5"/>
      <c r="N160" s="5"/>
      <c r="O160" s="5"/>
      <c r="P160" s="4"/>
      <c r="Q160" s="4"/>
    </row>
    <row r="161" spans="1:17">
      <c r="A161" s="52" t="s">
        <v>85</v>
      </c>
      <c r="B161" s="27"/>
      <c r="C161" s="29">
        <v>0</v>
      </c>
      <c r="D161" s="30">
        <v>0</v>
      </c>
      <c r="E161" s="29">
        <v>0</v>
      </c>
      <c r="F161" s="30">
        <v>0</v>
      </c>
      <c r="G161" s="29">
        <v>0</v>
      </c>
      <c r="H161" s="70">
        <v>0</v>
      </c>
      <c r="I161" s="5"/>
      <c r="J161" s="5"/>
      <c r="K161" s="5"/>
      <c r="L161" s="5"/>
      <c r="M161" s="2"/>
      <c r="N161" s="2"/>
      <c r="O161" s="2"/>
      <c r="P161" s="3"/>
      <c r="Q161" s="3"/>
    </row>
    <row r="162" spans="1:17">
      <c r="A162" s="49" t="s">
        <v>112</v>
      </c>
      <c r="B162" s="24"/>
      <c r="C162" s="25">
        <v>125</v>
      </c>
      <c r="D162" s="26">
        <f t="shared" ref="D162" si="228">IF(AND(D164="",D164=""),"",C162+D164-D163)</f>
        <v>131.13</v>
      </c>
      <c r="E162" s="26">
        <f t="shared" ref="E162" si="229">IF(AND(E164="",E164=""),"",D162+E164-E163)</f>
        <v>131.13</v>
      </c>
      <c r="F162" s="26">
        <f t="shared" ref="F162" si="230">IF(AND(F164="",F164=""),"",E162+F164-F163)</f>
        <v>131.13</v>
      </c>
      <c r="G162" s="25">
        <f t="shared" ref="G162" si="231">IF(AND(G164="",G164=""),"",F162+G164-G163)</f>
        <v>131.13</v>
      </c>
      <c r="H162" s="25">
        <f t="shared" ref="H162" si="232">IF(AND(H164="",H164=""),"",G162+H164-H163)</f>
        <v>131.13</v>
      </c>
      <c r="I162" s="25" t="str">
        <f t="shared" ref="I162" si="233">IF(AND(I164="",I164=""),"",H162+I164-I163)</f>
        <v/>
      </c>
      <c r="J162" s="25" t="str">
        <f t="shared" ref="J162" si="234">IF(AND(J164="",J164=""),"",I162+J164-J163)</f>
        <v/>
      </c>
      <c r="K162" s="25" t="str">
        <f t="shared" ref="K162" si="235">IF(AND(K164="",K164=""),"",J162+K164-K163)</f>
        <v/>
      </c>
      <c r="L162" s="25" t="str">
        <f t="shared" ref="L162" si="236">IF(AND(L164="",L164=""),"",K162+L164-L163)</f>
        <v/>
      </c>
      <c r="M162" s="25" t="str">
        <f t="shared" ref="M162" si="237">IF(AND(M164="",M164=""),"",L162+M164-M163)</f>
        <v/>
      </c>
      <c r="N162" s="25" t="str">
        <f t="shared" ref="N162" si="238">IF(AND(N164="",N164=""),"",M162+N164-N163)</f>
        <v/>
      </c>
      <c r="O162" s="25" t="str">
        <f t="shared" ref="O162" si="239">IF(AND(O164="",O164=""),"",N162+O164-O163)</f>
        <v/>
      </c>
      <c r="P162" s="24"/>
      <c r="Q162" s="57"/>
    </row>
    <row r="163" spans="1:17">
      <c r="A163" s="52" t="s">
        <v>84</v>
      </c>
      <c r="B163" s="27"/>
      <c r="C163" s="29">
        <v>0</v>
      </c>
      <c r="D163" s="30">
        <v>0</v>
      </c>
      <c r="E163" s="29">
        <v>0</v>
      </c>
      <c r="F163" s="30">
        <v>0</v>
      </c>
      <c r="G163" s="29">
        <v>0</v>
      </c>
      <c r="H163" s="70">
        <v>0</v>
      </c>
      <c r="I163" s="5"/>
      <c r="J163" s="5"/>
      <c r="K163" s="5"/>
      <c r="L163" s="5"/>
      <c r="M163" s="5"/>
      <c r="N163" s="5"/>
      <c r="O163" s="5"/>
      <c r="P163" s="4"/>
      <c r="Q163" s="4"/>
    </row>
    <row r="164" spans="1:17">
      <c r="A164" s="52" t="s">
        <v>85</v>
      </c>
      <c r="B164" s="27"/>
      <c r="C164" s="29">
        <v>0</v>
      </c>
      <c r="D164" s="30">
        <v>6.13</v>
      </c>
      <c r="E164" s="29">
        <v>0</v>
      </c>
      <c r="F164" s="30">
        <v>0</v>
      </c>
      <c r="G164" s="29">
        <v>0</v>
      </c>
      <c r="H164" s="70">
        <v>0</v>
      </c>
      <c r="I164" s="5"/>
      <c r="J164" s="5"/>
      <c r="K164" s="5"/>
      <c r="L164" s="5"/>
      <c r="M164" s="2"/>
      <c r="N164" s="2"/>
      <c r="O164" s="2"/>
      <c r="P164" s="3"/>
      <c r="Q164" s="3"/>
    </row>
    <row r="165" spans="1:17" ht="14.4" thickBot="1">
      <c r="A165" s="53" t="s">
        <v>12</v>
      </c>
      <c r="B165" s="54"/>
      <c r="C165" s="25">
        <f>IF(OR(C141="",C144="",C147="",C150="",C153="",C156="",C159=""),"",C141+C144+C147+C150+C153+C156+C159+C162)</f>
        <v>10470</v>
      </c>
      <c r="D165" s="26">
        <f t="shared" ref="D165:O165" si="240">IF(OR(D141="",D144="",D147="",D150="",D153="",D156="",D159=""),"",D141+D144+D147+D150+D153+D156+D159+D162)</f>
        <v>10476.129999999999</v>
      </c>
      <c r="E165" s="26">
        <f t="shared" si="240"/>
        <v>10844.63</v>
      </c>
      <c r="F165" s="26">
        <f t="shared" si="240"/>
        <v>10662.66</v>
      </c>
      <c r="G165" s="25">
        <f t="shared" si="240"/>
        <v>10737.66</v>
      </c>
      <c r="H165" s="25">
        <f t="shared" si="240"/>
        <v>11289.869999999999</v>
      </c>
      <c r="I165" s="25" t="str">
        <f t="shared" si="240"/>
        <v/>
      </c>
      <c r="J165" s="25" t="str">
        <f t="shared" si="240"/>
        <v/>
      </c>
      <c r="K165" s="25" t="str">
        <f t="shared" si="240"/>
        <v/>
      </c>
      <c r="L165" s="25" t="str">
        <f t="shared" si="240"/>
        <v/>
      </c>
      <c r="M165" s="25" t="str">
        <f t="shared" si="240"/>
        <v/>
      </c>
      <c r="N165" s="25" t="str">
        <f t="shared" si="240"/>
        <v/>
      </c>
      <c r="O165" s="25" t="str">
        <f t="shared" si="240"/>
        <v/>
      </c>
      <c r="P165" s="27"/>
      <c r="Q165" s="58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pageSetup scale="74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7744-0C76-4837-9A52-9158D098F9B4}">
  <sheetPr>
    <pageSetUpPr fitToPage="1"/>
  </sheetPr>
  <dimension ref="A1:XH172"/>
  <sheetViews>
    <sheetView workbookViewId="0">
      <selection activeCell="C62" sqref="C62"/>
    </sheetView>
  </sheetViews>
  <sheetFormatPr defaultRowHeight="13.8"/>
  <cols>
    <col min="1" max="1" width="8.796875" style="27"/>
    <col min="2" max="2" width="12.19921875" style="27" customWidth="1"/>
    <col min="3" max="14" width="9.296875" style="29" customWidth="1"/>
    <col min="15" max="15" width="9.8984375" style="30" customWidth="1"/>
    <col min="16" max="16" width="10.59765625" style="29" customWidth="1"/>
    <col min="17" max="17" width="7.796875" style="56" customWidth="1"/>
    <col min="18" max="32" width="8.796875" style="4"/>
    <col min="33" max="631" width="8.796875" style="27"/>
    <col min="632" max="632" width="9.5" style="27" customWidth="1"/>
    <col min="633" max="16384" width="8.796875" style="28"/>
  </cols>
  <sheetData>
    <row r="1" spans="1:32">
      <c r="A1" s="43" t="s">
        <v>118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5"/>
      <c r="Q1" s="47"/>
    </row>
    <row r="2" spans="1:32">
      <c r="A2" s="4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6" t="s">
        <v>12</v>
      </c>
      <c r="P2" s="25" t="s">
        <v>13</v>
      </c>
      <c r="Q2" s="55" t="s">
        <v>14</v>
      </c>
    </row>
    <row r="3" spans="1:32">
      <c r="A3" s="49" t="s">
        <v>15</v>
      </c>
    </row>
    <row r="4" spans="1:32">
      <c r="A4" s="49"/>
    </row>
    <row r="5" spans="1:32">
      <c r="A5" s="48" t="s">
        <v>16</v>
      </c>
      <c r="C5" s="29">
        <f>15606.16+21742</f>
        <v>37348.160000000003</v>
      </c>
      <c r="D5" s="29">
        <v>6937.2</v>
      </c>
      <c r="E5" s="29">
        <v>11940.2</v>
      </c>
      <c r="F5" s="29">
        <v>4820</v>
      </c>
      <c r="G5" s="29">
        <v>6262.78</v>
      </c>
      <c r="H5" s="29">
        <v>20221.759999999998</v>
      </c>
      <c r="I5" s="29">
        <v>13057.44</v>
      </c>
      <c r="J5" s="29">
        <v>5067.67</v>
      </c>
      <c r="K5" s="29">
        <v>10740.5</v>
      </c>
      <c r="L5" s="29">
        <v>22100.52</v>
      </c>
      <c r="M5" s="29">
        <f>10899.44-3958</f>
        <v>6941.4400000000005</v>
      </c>
      <c r="N5" s="29">
        <v>5845.15</v>
      </c>
      <c r="O5" s="30">
        <f>SUM(C5:N5)</f>
        <v>151282.81999999998</v>
      </c>
      <c r="P5" s="29">
        <v>146026</v>
      </c>
      <c r="Q5" s="56">
        <f t="shared" ref="Q5:Q10" si="0">O5/P5</f>
        <v>1.0359992056209166</v>
      </c>
    </row>
    <row r="6" spans="1:32">
      <c r="A6" s="48" t="s">
        <v>116</v>
      </c>
      <c r="C6" s="29">
        <v>892.41</v>
      </c>
      <c r="D6" s="29">
        <v>401.5</v>
      </c>
      <c r="E6" s="29">
        <v>1143.33</v>
      </c>
      <c r="F6" s="29">
        <v>280</v>
      </c>
      <c r="G6" s="29">
        <v>890.62</v>
      </c>
      <c r="H6" s="29">
        <v>669</v>
      </c>
      <c r="I6" s="29">
        <v>515.87</v>
      </c>
      <c r="J6" s="29">
        <v>1581.5</v>
      </c>
      <c r="K6" s="29">
        <v>692</v>
      </c>
      <c r="L6" s="29">
        <v>716.75</v>
      </c>
      <c r="M6" s="29">
        <f>2051.65-120.9</f>
        <v>1930.75</v>
      </c>
      <c r="N6" s="29">
        <v>591.70000000000005</v>
      </c>
      <c r="O6" s="30">
        <f t="shared" ref="O6:O10" si="1">SUM(C6:N6)</f>
        <v>10305.43</v>
      </c>
      <c r="P6" s="29">
        <v>4000</v>
      </c>
      <c r="Q6" s="56">
        <f t="shared" si="0"/>
        <v>2.5763574999999999</v>
      </c>
    </row>
    <row r="7" spans="1:32">
      <c r="A7" s="48" t="s">
        <v>18</v>
      </c>
      <c r="C7" s="29">
        <v>40</v>
      </c>
      <c r="D7" s="29">
        <v>23.79</v>
      </c>
      <c r="E7" s="29">
        <v>0</v>
      </c>
      <c r="F7" s="29">
        <v>32.880000000000003</v>
      </c>
      <c r="G7" s="29">
        <v>0</v>
      </c>
      <c r="H7" s="29">
        <v>8404.4599999999991</v>
      </c>
      <c r="I7" s="29">
        <v>4490.46</v>
      </c>
      <c r="J7" s="29">
        <f>1659.12+1000</f>
        <v>2659.12</v>
      </c>
      <c r="K7" s="29">
        <f>47.51 +300</f>
        <v>347.51</v>
      </c>
      <c r="L7" s="29">
        <v>782</v>
      </c>
      <c r="M7" s="29">
        <f>125+1000</f>
        <v>1125</v>
      </c>
      <c r="N7" s="29">
        <f>40+44.26</f>
        <v>84.259999999999991</v>
      </c>
      <c r="O7" s="30">
        <f t="shared" si="1"/>
        <v>17989.48</v>
      </c>
      <c r="P7" s="29">
        <v>20000</v>
      </c>
      <c r="Q7" s="56">
        <f t="shared" si="0"/>
        <v>0.899474</v>
      </c>
    </row>
    <row r="8" spans="1:32">
      <c r="A8" s="48" t="s">
        <v>108</v>
      </c>
      <c r="C8" s="29">
        <v>0</v>
      </c>
      <c r="D8" s="29">
        <v>0</v>
      </c>
      <c r="E8" s="29">
        <v>0</v>
      </c>
      <c r="F8" s="29">
        <v>315</v>
      </c>
      <c r="G8" s="29">
        <v>0</v>
      </c>
      <c r="H8" s="29">
        <v>0</v>
      </c>
      <c r="I8" s="29">
        <v>0</v>
      </c>
      <c r="J8" s="29">
        <v>0</v>
      </c>
      <c r="L8" s="29">
        <v>0</v>
      </c>
      <c r="M8" s="29">
        <v>0</v>
      </c>
      <c r="N8" s="29">
        <v>0</v>
      </c>
      <c r="O8" s="30">
        <f t="shared" si="1"/>
        <v>315</v>
      </c>
      <c r="P8" s="29">
        <v>0</v>
      </c>
      <c r="Q8" s="56" t="e">
        <f t="shared" si="0"/>
        <v>#DIV/0!</v>
      </c>
    </row>
    <row r="9" spans="1:32">
      <c r="A9" s="48" t="s">
        <v>19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L9" s="29">
        <v>0</v>
      </c>
      <c r="M9" s="29">
        <v>0</v>
      </c>
      <c r="N9" s="29">
        <v>0</v>
      </c>
      <c r="O9" s="30">
        <f t="shared" si="1"/>
        <v>0</v>
      </c>
      <c r="P9" s="29">
        <v>0</v>
      </c>
      <c r="Q9" s="56" t="e">
        <f t="shared" si="0"/>
        <v>#DIV/0!</v>
      </c>
    </row>
    <row r="10" spans="1:32">
      <c r="A10" s="48" t="s">
        <v>117</v>
      </c>
      <c r="C10" s="29">
        <f>1161+5000</f>
        <v>6161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L10" s="29">
        <v>0</v>
      </c>
      <c r="M10" s="29">
        <v>0</v>
      </c>
      <c r="N10" s="29">
        <v>0</v>
      </c>
      <c r="O10" s="30">
        <f t="shared" si="1"/>
        <v>6161</v>
      </c>
      <c r="P10" s="29">
        <v>6161</v>
      </c>
      <c r="Q10" s="56">
        <f t="shared" si="0"/>
        <v>1</v>
      </c>
    </row>
    <row r="11" spans="1:32" s="27" customFormat="1">
      <c r="A11" s="50" t="s">
        <v>21</v>
      </c>
      <c r="C11" s="29">
        <f t="shared" ref="C11:O11" si="2">SUM(C5:C10)</f>
        <v>44441.570000000007</v>
      </c>
      <c r="D11" s="29">
        <f t="shared" si="2"/>
        <v>7362.49</v>
      </c>
      <c r="E11" s="29">
        <f t="shared" si="2"/>
        <v>13083.53</v>
      </c>
      <c r="F11" s="29">
        <f t="shared" si="2"/>
        <v>5447.88</v>
      </c>
      <c r="G11" s="29">
        <f t="shared" si="2"/>
        <v>7153.4</v>
      </c>
      <c r="H11" s="29">
        <f t="shared" si="2"/>
        <v>29295.219999999998</v>
      </c>
      <c r="I11" s="29">
        <f>SUM(I5:I10)</f>
        <v>18063.77</v>
      </c>
      <c r="J11" s="29">
        <f t="shared" si="2"/>
        <v>9308.2900000000009</v>
      </c>
      <c r="K11" s="29">
        <f t="shared" si="2"/>
        <v>11780.01</v>
      </c>
      <c r="L11" s="29">
        <f t="shared" si="2"/>
        <v>23599.27</v>
      </c>
      <c r="M11" s="29">
        <f t="shared" si="2"/>
        <v>9997.19</v>
      </c>
      <c r="N11" s="29">
        <f t="shared" si="2"/>
        <v>6521.11</v>
      </c>
      <c r="O11" s="26">
        <f t="shared" si="2"/>
        <v>186053.72999999998</v>
      </c>
      <c r="P11" s="25">
        <f>SUM(P5:P10)</f>
        <v>176187</v>
      </c>
      <c r="Q11" s="55">
        <f t="shared" ref="Q11" si="3">O11/P11</f>
        <v>1.0560014643532154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7" customFormat="1">
      <c r="A12" s="48" t="s">
        <v>119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10275</v>
      </c>
      <c r="M12" s="29">
        <v>3958</v>
      </c>
      <c r="N12" s="29">
        <v>3650</v>
      </c>
      <c r="O12" s="26"/>
      <c r="P12" s="25"/>
      <c r="Q12" s="55"/>
      <c r="R12" s="4">
        <f>SUM(L12+N12)</f>
        <v>13925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27" customFormat="1">
      <c r="A13" s="4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9"/>
      <c r="Q13" s="5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27" customFormat="1">
      <c r="A14" s="49" t="s">
        <v>22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6"/>
      <c r="P14" s="29"/>
      <c r="Q14" s="5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27" customFormat="1">
      <c r="A15" s="4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6"/>
      <c r="P15" s="29"/>
      <c r="Q15" s="5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27" customFormat="1">
      <c r="A16" s="49" t="s">
        <v>23</v>
      </c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  <c r="Q16" s="5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27" customFormat="1">
      <c r="A17" s="48" t="s">
        <v>24</v>
      </c>
      <c r="C17" s="29">
        <v>61.21</v>
      </c>
      <c r="D17" s="29">
        <v>602.11</v>
      </c>
      <c r="E17" s="29">
        <v>131.66</v>
      </c>
      <c r="F17" s="29">
        <v>222.36</v>
      </c>
      <c r="G17" s="29">
        <v>77.62</v>
      </c>
      <c r="H17" s="29">
        <v>73.260000000000005</v>
      </c>
      <c r="I17" s="29">
        <v>359.8</v>
      </c>
      <c r="J17" s="29">
        <v>291.02</v>
      </c>
      <c r="K17" s="29">
        <v>558.33000000000004</v>
      </c>
      <c r="L17" s="29">
        <v>342.53</v>
      </c>
      <c r="M17" s="29">
        <v>216.87</v>
      </c>
      <c r="N17" s="29">
        <v>141.22</v>
      </c>
      <c r="O17" s="30">
        <f t="shared" ref="O17:O24" si="4">SUM(C17:N17)</f>
        <v>3077.9899999999993</v>
      </c>
      <c r="P17" s="29">
        <v>3000</v>
      </c>
      <c r="Q17" s="56">
        <f t="shared" ref="Q17:Q24" si="5">O17/P17</f>
        <v>1.0259966666666664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27" customFormat="1">
      <c r="A18" s="48" t="s">
        <v>25</v>
      </c>
      <c r="C18" s="29">
        <v>440</v>
      </c>
      <c r="D18" s="29">
        <v>596.98</v>
      </c>
      <c r="E18" s="29">
        <v>0</v>
      </c>
      <c r="F18" s="29">
        <v>990</v>
      </c>
      <c r="G18" s="29">
        <v>110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445.94</v>
      </c>
      <c r="N18" s="29">
        <v>660</v>
      </c>
      <c r="O18" s="30">
        <f t="shared" si="4"/>
        <v>3242.92</v>
      </c>
      <c r="P18" s="29">
        <v>3000</v>
      </c>
      <c r="Q18" s="56">
        <f t="shared" si="5"/>
        <v>1.0809733333333333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27" customFormat="1">
      <c r="A19" s="48" t="s">
        <v>26</v>
      </c>
      <c r="C19" s="29">
        <v>573</v>
      </c>
      <c r="D19" s="29">
        <v>0</v>
      </c>
      <c r="E19" s="29">
        <v>0</v>
      </c>
      <c r="F19" s="29">
        <v>0</v>
      </c>
      <c r="G19" s="29">
        <v>6249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507</v>
      </c>
      <c r="N19" s="29">
        <v>552</v>
      </c>
      <c r="O19" s="30">
        <f t="shared" si="4"/>
        <v>7881</v>
      </c>
      <c r="P19" s="29">
        <f>6600+573</f>
        <v>7173</v>
      </c>
      <c r="Q19" s="56">
        <f t="shared" si="5"/>
        <v>1.0987034713508992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27" customFormat="1">
      <c r="A20" s="48" t="s">
        <v>27</v>
      </c>
      <c r="C20" s="29">
        <v>726.55</v>
      </c>
      <c r="D20" s="29">
        <v>0</v>
      </c>
      <c r="E20" s="29">
        <v>0</v>
      </c>
      <c r="F20" s="29">
        <v>1453.1</v>
      </c>
      <c r="G20" s="29">
        <v>726.55</v>
      </c>
      <c r="H20" s="29">
        <v>726.55</v>
      </c>
      <c r="I20" s="29">
        <v>726.55</v>
      </c>
      <c r="J20" s="29">
        <v>726.55</v>
      </c>
      <c r="K20" s="29">
        <v>726.55</v>
      </c>
      <c r="L20" s="29">
        <v>726.55</v>
      </c>
      <c r="M20" s="29">
        <v>726.55</v>
      </c>
      <c r="N20" s="29">
        <v>726.55</v>
      </c>
      <c r="O20" s="30">
        <f t="shared" si="4"/>
        <v>7992.0500000000011</v>
      </c>
      <c r="P20" s="29">
        <v>8500</v>
      </c>
      <c r="Q20" s="56">
        <f t="shared" si="5"/>
        <v>0.94024117647058836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27" customFormat="1">
      <c r="A21" s="51" t="s">
        <v>111</v>
      </c>
      <c r="C21" s="29">
        <v>236.45</v>
      </c>
      <c r="D21" s="29">
        <v>218.04</v>
      </c>
      <c r="E21" s="29">
        <v>218.04</v>
      </c>
      <c r="F21" s="29">
        <v>217.59</v>
      </c>
      <c r="G21" s="29">
        <v>577.34</v>
      </c>
      <c r="H21" s="29">
        <v>223.34</v>
      </c>
      <c r="I21" s="29">
        <v>216.84</v>
      </c>
      <c r="J21" s="29">
        <v>217.32</v>
      </c>
      <c r="K21" s="29">
        <v>493.26</v>
      </c>
      <c r="L21" s="29">
        <v>352.48</v>
      </c>
      <c r="M21" s="29">
        <v>419.27</v>
      </c>
      <c r="N21" s="29">
        <v>216.69</v>
      </c>
      <c r="O21" s="30">
        <f t="shared" si="4"/>
        <v>3606.6600000000003</v>
      </c>
      <c r="P21" s="29">
        <v>3470</v>
      </c>
      <c r="Q21" s="56">
        <f t="shared" si="5"/>
        <v>1.0393832853025937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27" customFormat="1">
      <c r="A22" s="48" t="s">
        <v>28</v>
      </c>
      <c r="C22" s="29">
        <v>186.57</v>
      </c>
      <c r="D22" s="29">
        <v>249.05</v>
      </c>
      <c r="E22" s="29">
        <v>329.02</v>
      </c>
      <c r="F22" s="29">
        <v>388.03</v>
      </c>
      <c r="G22" s="29">
        <v>322.2</v>
      </c>
      <c r="H22" s="29">
        <v>252.03</v>
      </c>
      <c r="I22" s="29">
        <v>258.45999999999998</v>
      </c>
      <c r="J22" s="29">
        <v>394.16</v>
      </c>
      <c r="K22" s="29">
        <v>547.48</v>
      </c>
      <c r="L22" s="29">
        <v>347.69</v>
      </c>
      <c r="M22" s="29">
        <v>314.72000000000003</v>
      </c>
      <c r="N22" s="29">
        <v>345.33</v>
      </c>
      <c r="O22" s="30">
        <f t="shared" si="4"/>
        <v>3934.74</v>
      </c>
      <c r="P22" s="29">
        <v>4500</v>
      </c>
      <c r="Q22" s="56">
        <f t="shared" si="5"/>
        <v>0.87438666666666665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7" customFormat="1">
      <c r="A23" s="48" t="s">
        <v>29</v>
      </c>
      <c r="C23" s="29">
        <v>81.75</v>
      </c>
      <c r="D23" s="29">
        <v>81.75</v>
      </c>
      <c r="E23" s="29">
        <v>81.75</v>
      </c>
      <c r="F23" s="29">
        <v>81.75</v>
      </c>
      <c r="G23" s="29">
        <v>81.75</v>
      </c>
      <c r="H23" s="29">
        <v>388.11</v>
      </c>
      <c r="I23" s="29">
        <v>439.23</v>
      </c>
      <c r="J23" s="29">
        <v>81.75</v>
      </c>
      <c r="K23" s="29">
        <v>81.75</v>
      </c>
      <c r="L23" s="29">
        <v>81.75</v>
      </c>
      <c r="M23" s="29">
        <v>81.75</v>
      </c>
      <c r="N23" s="29">
        <v>163.5</v>
      </c>
      <c r="O23" s="30">
        <f t="shared" si="4"/>
        <v>1726.5900000000001</v>
      </c>
      <c r="P23" s="29">
        <v>1300</v>
      </c>
      <c r="Q23" s="56">
        <f t="shared" si="5"/>
        <v>1.3281461538461539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7" customFormat="1">
      <c r="A24" s="48" t="s">
        <v>30</v>
      </c>
      <c r="C24" s="29">
        <v>38.74</v>
      </c>
      <c r="D24" s="29">
        <v>85.37</v>
      </c>
      <c r="E24" s="29">
        <v>37.15</v>
      </c>
      <c r="F24" s="29">
        <v>28.6</v>
      </c>
      <c r="G24" s="29">
        <v>0</v>
      </c>
      <c r="H24" s="29">
        <v>123.65</v>
      </c>
      <c r="I24" s="29">
        <v>106.64</v>
      </c>
      <c r="J24" s="29">
        <v>306.61</v>
      </c>
      <c r="K24" s="29">
        <v>397.36</v>
      </c>
      <c r="L24" s="29">
        <v>92.08</v>
      </c>
      <c r="M24" s="29">
        <v>205.8</v>
      </c>
      <c r="N24" s="29">
        <v>433.53</v>
      </c>
      <c r="O24" s="30">
        <f t="shared" si="4"/>
        <v>1855.5299999999997</v>
      </c>
      <c r="P24" s="29">
        <v>1900</v>
      </c>
      <c r="Q24" s="56">
        <f t="shared" si="5"/>
        <v>0.97659473684210518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27" customFormat="1">
      <c r="A25" s="4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5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27" customFormat="1">
      <c r="A26" s="49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/>
      <c r="P26" s="29"/>
      <c r="Q26" s="5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27" customFormat="1">
      <c r="A27" s="48" t="s">
        <v>32</v>
      </c>
      <c r="C27" s="29">
        <f>156.34+984</f>
        <v>1140.3399999999999</v>
      </c>
      <c r="D27" s="29">
        <v>129.61000000000001</v>
      </c>
      <c r="E27" s="29">
        <v>296.66000000000003</v>
      </c>
      <c r="F27" s="29">
        <v>51.25</v>
      </c>
      <c r="G27" s="29">
        <v>114.76</v>
      </c>
      <c r="H27" s="29">
        <v>50.94</v>
      </c>
      <c r="I27" s="29">
        <v>98.2</v>
      </c>
      <c r="J27" s="29">
        <v>95.08</v>
      </c>
      <c r="K27" s="29">
        <v>0</v>
      </c>
      <c r="L27" s="29">
        <v>20.88</v>
      </c>
      <c r="M27" s="29">
        <v>500</v>
      </c>
      <c r="N27" s="29">
        <v>31.08</v>
      </c>
      <c r="O27" s="30">
        <f>SUM(C27:N27)</f>
        <v>2528.8000000000002</v>
      </c>
      <c r="P27" s="29">
        <v>2743</v>
      </c>
      <c r="Q27" s="56">
        <f>O27/P27</f>
        <v>0.92191031717098071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27" customFormat="1">
      <c r="A28" s="48" t="s">
        <v>33</v>
      </c>
      <c r="C28" s="29">
        <v>0</v>
      </c>
      <c r="D28" s="29">
        <v>250</v>
      </c>
      <c r="E28" s="29">
        <v>76.83</v>
      </c>
      <c r="F28" s="29">
        <v>250</v>
      </c>
      <c r="G28" s="29">
        <v>1086.96</v>
      </c>
      <c r="H28" s="29">
        <v>17.510000000000002</v>
      </c>
      <c r="I28" s="29">
        <v>61.8</v>
      </c>
      <c r="J28" s="29">
        <v>16.37</v>
      </c>
      <c r="K28" s="29">
        <v>10.82</v>
      </c>
      <c r="L28" s="29">
        <v>345.45</v>
      </c>
      <c r="M28" s="29">
        <v>188</v>
      </c>
      <c r="N28" s="29">
        <v>219.04</v>
      </c>
      <c r="O28" s="30">
        <f>SUM(C28:N28)</f>
        <v>2522.7799999999997</v>
      </c>
      <c r="P28" s="29">
        <v>4350</v>
      </c>
      <c r="Q28" s="56">
        <f>O28/P28</f>
        <v>0.57994942528735627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27" customFormat="1">
      <c r="A29" s="48" t="s">
        <v>34</v>
      </c>
      <c r="C29" s="29">
        <v>100</v>
      </c>
      <c r="D29" s="29">
        <v>0</v>
      </c>
      <c r="E29" s="29">
        <v>75</v>
      </c>
      <c r="F29" s="29">
        <v>75</v>
      </c>
      <c r="G29" s="29">
        <v>0</v>
      </c>
      <c r="H29" s="29">
        <v>0</v>
      </c>
      <c r="I29" s="29">
        <v>95</v>
      </c>
      <c r="J29" s="29">
        <v>174.03</v>
      </c>
      <c r="K29" s="29">
        <v>0</v>
      </c>
      <c r="L29" s="29">
        <v>596</v>
      </c>
      <c r="M29" s="29">
        <v>246.3</v>
      </c>
      <c r="N29" s="29">
        <v>4.37</v>
      </c>
      <c r="O29" s="30">
        <f>SUM(C29:N29)</f>
        <v>1365.6999999999998</v>
      </c>
      <c r="P29" s="29">
        <v>2000</v>
      </c>
      <c r="Q29" s="56">
        <f>O29/P29</f>
        <v>0.68284999999999996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7" customFormat="1">
      <c r="A30" s="67" t="s">
        <v>35</v>
      </c>
      <c r="B30" s="68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f>SUM(C30:N30)</f>
        <v>0</v>
      </c>
      <c r="P30" s="29">
        <v>100</v>
      </c>
      <c r="Q30" s="56">
        <f>O30/P30</f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27" customFormat="1">
      <c r="A31" s="4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29"/>
      <c r="Q31" s="5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27" customFormat="1">
      <c r="A32" s="49" t="s">
        <v>36</v>
      </c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29"/>
      <c r="Q32" s="5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27" customFormat="1">
      <c r="A33" s="48" t="s">
        <v>37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51.43</v>
      </c>
      <c r="J33" s="29">
        <v>138</v>
      </c>
      <c r="K33" s="29">
        <v>94.08</v>
      </c>
      <c r="L33" s="29">
        <v>0</v>
      </c>
      <c r="M33" s="29">
        <v>0</v>
      </c>
      <c r="N33" s="29">
        <v>0</v>
      </c>
      <c r="O33" s="30">
        <f>SUM(C33:N33)</f>
        <v>283.51</v>
      </c>
      <c r="P33" s="29">
        <v>250</v>
      </c>
      <c r="Q33" s="56">
        <f>O33/P33</f>
        <v>1.1340399999999999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27" customFormat="1">
      <c r="A34" s="48" t="s">
        <v>38</v>
      </c>
      <c r="C34" s="29">
        <v>11.6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249.66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f>SUM(C34:N34)</f>
        <v>261.26</v>
      </c>
      <c r="P34" s="29">
        <v>150</v>
      </c>
      <c r="Q34" s="56">
        <f>O34/P34</f>
        <v>1.7417333333333334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27" customFormat="1">
      <c r="A35" s="48" t="s">
        <v>39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f>SUM(C35:N35)</f>
        <v>0</v>
      </c>
      <c r="P35" s="29">
        <v>1000</v>
      </c>
      <c r="Q35" s="56">
        <f>O35/P35</f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27" customFormat="1">
      <c r="A36" s="48" t="s">
        <v>103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f>SUM(C36:N36)</f>
        <v>0</v>
      </c>
      <c r="P36" s="29">
        <v>135</v>
      </c>
      <c r="Q36" s="56">
        <f>O36/P36</f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27" customFormat="1">
      <c r="A37" s="4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33"/>
      <c r="Q37" s="56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27" customFormat="1">
      <c r="A38" s="49" t="s">
        <v>40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29"/>
      <c r="Q38" s="5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s="27" customFormat="1">
      <c r="A39" s="67" t="s">
        <v>41</v>
      </c>
      <c r="B39" s="68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f>SUM(C39:N39)</f>
        <v>0</v>
      </c>
      <c r="P39" s="29">
        <v>600</v>
      </c>
      <c r="Q39" s="56">
        <f>O39/P39</f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27" customFormat="1">
      <c r="A40" s="67" t="s">
        <v>42</v>
      </c>
      <c r="B40" s="68"/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1000</v>
      </c>
      <c r="L40" s="29">
        <v>0</v>
      </c>
      <c r="M40" s="29">
        <v>0</v>
      </c>
      <c r="N40" s="29">
        <v>0</v>
      </c>
      <c r="O40" s="30">
        <f>SUM(C40:N40)</f>
        <v>1000</v>
      </c>
      <c r="P40" s="29">
        <v>1100</v>
      </c>
      <c r="Q40" s="56">
        <f>O40/P40</f>
        <v>0.90909090909090906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27" customFormat="1">
      <c r="A41" s="67" t="s">
        <v>43</v>
      </c>
      <c r="B41" s="68"/>
      <c r="C41" s="29">
        <v>124.62</v>
      </c>
      <c r="D41" s="29">
        <v>117</v>
      </c>
      <c r="E41" s="29">
        <v>-124.62</v>
      </c>
      <c r="F41" s="29">
        <v>199.33</v>
      </c>
      <c r="G41" s="29">
        <v>0</v>
      </c>
      <c r="H41" s="29">
        <v>22.5</v>
      </c>
      <c r="I41" s="29">
        <v>59.28</v>
      </c>
      <c r="J41" s="29">
        <v>307.5</v>
      </c>
      <c r="K41" s="29">
        <v>0</v>
      </c>
      <c r="L41" s="29">
        <v>46.97</v>
      </c>
      <c r="M41" s="29">
        <v>0</v>
      </c>
      <c r="N41" s="29">
        <v>28.66</v>
      </c>
      <c r="O41" s="30">
        <f>SUM(C41:N41)</f>
        <v>781.24</v>
      </c>
      <c r="P41" s="29">
        <v>750</v>
      </c>
      <c r="Q41" s="56">
        <f>O41/P41</f>
        <v>1.0416533333333333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s="27" customFormat="1">
      <c r="A42" s="48" t="s">
        <v>44</v>
      </c>
      <c r="C42" s="29">
        <v>0</v>
      </c>
      <c r="D42" s="29">
        <v>3000</v>
      </c>
      <c r="E42" s="29">
        <v>0</v>
      </c>
      <c r="F42" s="29">
        <v>0</v>
      </c>
      <c r="G42" s="29">
        <v>0</v>
      </c>
      <c r="H42" s="29">
        <v>3000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4856</v>
      </c>
      <c r="O42" s="30">
        <f>SUM(C42:N42)</f>
        <v>10856</v>
      </c>
      <c r="P42" s="29">
        <f>5145+687</f>
        <v>5832</v>
      </c>
      <c r="Q42" s="56">
        <f>O42/P42</f>
        <v>1.8614540466392318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27" customFormat="1">
      <c r="A43" s="4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29"/>
      <c r="Q43" s="5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s="27" customFormat="1">
      <c r="A44" s="4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29"/>
      <c r="Q44" s="56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s="27" customFormat="1">
      <c r="A45" s="48"/>
      <c r="C45" s="25" t="s">
        <v>0</v>
      </c>
      <c r="D45" s="25" t="s">
        <v>1</v>
      </c>
      <c r="E45" s="25" t="s">
        <v>2</v>
      </c>
      <c r="F45" s="25" t="s">
        <v>3</v>
      </c>
      <c r="G45" s="25" t="s">
        <v>4</v>
      </c>
      <c r="H45" s="25" t="s">
        <v>5</v>
      </c>
      <c r="I45" s="25" t="s">
        <v>6</v>
      </c>
      <c r="J45" s="25" t="s">
        <v>7</v>
      </c>
      <c r="K45" s="25" t="s">
        <v>8</v>
      </c>
      <c r="L45" s="25" t="s">
        <v>9</v>
      </c>
      <c r="M45" s="25" t="s">
        <v>10</v>
      </c>
      <c r="N45" s="25" t="s">
        <v>11</v>
      </c>
      <c r="O45" s="26" t="s">
        <v>12</v>
      </c>
      <c r="P45" s="25" t="s">
        <v>13</v>
      </c>
      <c r="Q45" s="55" t="s">
        <v>14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27" customFormat="1">
      <c r="A46" s="49" t="s">
        <v>45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29"/>
      <c r="Q46" s="5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24" customFormat="1">
      <c r="A47" s="4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Q47" s="5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24" customFormat="1">
      <c r="A48" s="67" t="s">
        <v>46</v>
      </c>
      <c r="B48" s="68"/>
      <c r="C48" s="29">
        <v>1163.53</v>
      </c>
      <c r="D48" s="29">
        <v>1820.84</v>
      </c>
      <c r="E48" s="29">
        <v>1167.48</v>
      </c>
      <c r="F48" s="29">
        <v>1167.48</v>
      </c>
      <c r="G48" s="29">
        <v>1747.75</v>
      </c>
      <c r="H48" s="29">
        <v>1751.22</v>
      </c>
      <c r="I48" s="29">
        <v>1167.48</v>
      </c>
      <c r="J48" s="29">
        <v>2486.58</v>
      </c>
      <c r="K48" s="29">
        <v>584.83000000000004</v>
      </c>
      <c r="L48" s="29">
        <v>901.68</v>
      </c>
      <c r="M48" s="29">
        <v>2116.8200000000002</v>
      </c>
      <c r="N48" s="29">
        <v>1399.21</v>
      </c>
      <c r="O48" s="30">
        <f t="shared" ref="O48:O54" si="6">SUM(C48:N48)</f>
        <v>17474.899999999998</v>
      </c>
      <c r="P48" s="29">
        <v>17746</v>
      </c>
      <c r="Q48" s="56">
        <f t="shared" ref="Q48:Q52" si="7">O48/P48</f>
        <v>0.98472331793080115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24" customFormat="1">
      <c r="A49" s="67" t="s">
        <v>47</v>
      </c>
      <c r="B49" s="68"/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193</v>
      </c>
      <c r="I49" s="29">
        <v>0</v>
      </c>
      <c r="J49" s="29">
        <v>0</v>
      </c>
      <c r="K49" s="29">
        <v>0</v>
      </c>
      <c r="L49" s="29">
        <v>71.94</v>
      </c>
      <c r="M49" s="29">
        <v>271.83999999999997</v>
      </c>
      <c r="N49" s="29">
        <v>1348.24</v>
      </c>
      <c r="O49" s="30">
        <f t="shared" si="6"/>
        <v>1885.02</v>
      </c>
      <c r="P49" s="29">
        <f>2033.33333333333</f>
        <v>2033.3333333333301</v>
      </c>
      <c r="Q49" s="56">
        <f t="shared" si="7"/>
        <v>0.92705901639344412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24" customFormat="1">
      <c r="A50" s="67" t="s">
        <v>48</v>
      </c>
      <c r="B50" s="68"/>
      <c r="C50" s="29">
        <v>0</v>
      </c>
      <c r="D50" s="29">
        <v>973.11</v>
      </c>
      <c r="E50" s="29">
        <v>650.03</v>
      </c>
      <c r="F50" s="29">
        <v>650.03</v>
      </c>
      <c r="G50" s="29">
        <v>973.11</v>
      </c>
      <c r="H50" s="29">
        <v>650.03</v>
      </c>
      <c r="I50" s="29">
        <v>650.03</v>
      </c>
      <c r="J50" s="29">
        <v>973.11</v>
      </c>
      <c r="K50" s="29">
        <v>650.03</v>
      </c>
      <c r="L50" s="29">
        <v>650.03</v>
      </c>
      <c r="M50" s="29">
        <v>973.11</v>
      </c>
      <c r="N50" s="29">
        <v>1300.06</v>
      </c>
      <c r="O50" s="30">
        <f t="shared" si="6"/>
        <v>9092.6799999999985</v>
      </c>
      <c r="P50" s="29">
        <v>9092.16</v>
      </c>
      <c r="Q50" s="56">
        <f t="shared" si="7"/>
        <v>1.0000571921303627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24" customFormat="1">
      <c r="A51" s="48" t="s">
        <v>49</v>
      </c>
      <c r="B51" s="27"/>
      <c r="C51" s="29">
        <v>100</v>
      </c>
      <c r="D51" s="29">
        <v>589.84</v>
      </c>
      <c r="E51" s="29">
        <v>305.49</v>
      </c>
      <c r="F51" s="29">
        <v>784.97</v>
      </c>
      <c r="G51" s="29">
        <v>91.04</v>
      </c>
      <c r="H51" s="29">
        <v>470.99</v>
      </c>
      <c r="I51" s="29">
        <v>313.99</v>
      </c>
      <c r="J51" s="29">
        <v>404.56</v>
      </c>
      <c r="K51" s="29">
        <v>313.99</v>
      </c>
      <c r="L51" s="29">
        <v>313.99</v>
      </c>
      <c r="M51" s="29">
        <v>378.55</v>
      </c>
      <c r="N51" s="29">
        <v>627.98</v>
      </c>
      <c r="O51" s="30">
        <f t="shared" si="6"/>
        <v>4695.3899999999994</v>
      </c>
      <c r="P51" s="29">
        <v>5356</v>
      </c>
      <c r="Q51" s="56">
        <f t="shared" si="7"/>
        <v>0.87665982076176241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24" customFormat="1">
      <c r="A52" s="48" t="s">
        <v>50</v>
      </c>
      <c r="B52" s="27"/>
      <c r="C52" s="29">
        <v>289.62</v>
      </c>
      <c r="D52" s="29">
        <v>172.53</v>
      </c>
      <c r="E52" s="29">
        <v>246.81</v>
      </c>
      <c r="F52" s="29">
        <v>304.3</v>
      </c>
      <c r="G52" s="29">
        <v>528.15</v>
      </c>
      <c r="H52" s="29">
        <v>501.47</v>
      </c>
      <c r="I52" s="29">
        <v>209.86</v>
      </c>
      <c r="J52" s="29">
        <v>389.55</v>
      </c>
      <c r="K52" s="29">
        <v>277.06</v>
      </c>
      <c r="L52" s="29">
        <v>348.17</v>
      </c>
      <c r="M52" s="29">
        <v>544.54999999999995</v>
      </c>
      <c r="N52" s="29">
        <v>627.76</v>
      </c>
      <c r="O52" s="30">
        <f t="shared" si="6"/>
        <v>4439.83</v>
      </c>
      <c r="P52" s="29">
        <v>4547</v>
      </c>
      <c r="Q52" s="56">
        <f t="shared" si="7"/>
        <v>0.97643061359137895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27" customFormat="1">
      <c r="A53" s="67" t="s">
        <v>51</v>
      </c>
      <c r="B53" s="68"/>
      <c r="C53" s="29">
        <v>0</v>
      </c>
      <c r="D53" s="29">
        <v>642.15</v>
      </c>
      <c r="E53" s="29">
        <v>485.02</v>
      </c>
      <c r="F53" s="29">
        <v>545.65</v>
      </c>
      <c r="G53" s="29">
        <v>801.53</v>
      </c>
      <c r="H53" s="29">
        <v>485.02</v>
      </c>
      <c r="I53" s="29">
        <v>478.96</v>
      </c>
      <c r="J53" s="29">
        <v>689.64</v>
      </c>
      <c r="K53" s="29">
        <v>527.49</v>
      </c>
      <c r="L53" s="29">
        <v>303.14</v>
      </c>
      <c r="M53" s="29">
        <v>755.58</v>
      </c>
      <c r="N53" s="29">
        <v>1054.92</v>
      </c>
      <c r="O53" s="30">
        <f t="shared" si="6"/>
        <v>6769.1</v>
      </c>
      <c r="P53" s="33">
        <f>7460</f>
        <v>7460</v>
      </c>
      <c r="Q53" s="56">
        <f>O53/P54</f>
        <v>0.7893533904728588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s="27" customFormat="1">
      <c r="A54" s="48" t="s">
        <v>104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8576</v>
      </c>
      <c r="O54" s="30">
        <f t="shared" si="6"/>
        <v>8576</v>
      </c>
      <c r="P54" s="29">
        <v>8575.5</v>
      </c>
      <c r="Q54" s="56">
        <f>O54/P53</f>
        <v>1.149597855227882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s="27" customFormat="1">
      <c r="A55" s="4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Q55" s="5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s="27" customFormat="1">
      <c r="A56" s="49" t="s">
        <v>52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  <c r="P56" s="25">
        <f>SUM(P57:P60)</f>
        <v>69524</v>
      </c>
      <c r="Q56" s="56">
        <f>(O57+O58+O59+O60)/P56</f>
        <v>0.96748489730165121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27" customFormat="1">
      <c r="A57" s="51" t="s">
        <v>53</v>
      </c>
      <c r="C57" s="29">
        <v>4223.1099999999997</v>
      </c>
      <c r="D57" s="29">
        <v>4248.16</v>
      </c>
      <c r="E57" s="29">
        <v>4248.16</v>
      </c>
      <c r="F57" s="29">
        <v>4248.16</v>
      </c>
      <c r="G57" s="29">
        <v>4248.16</v>
      </c>
      <c r="H57" s="29">
        <v>6329.44</v>
      </c>
      <c r="I57" s="29">
        <v>4248.16</v>
      </c>
      <c r="J57" s="29">
        <v>4248.16</v>
      </c>
      <c r="K57" s="29">
        <v>4248.16</v>
      </c>
      <c r="L57" s="29">
        <v>4162.5600000000004</v>
      </c>
      <c r="M57" s="29">
        <v>4333.76</v>
      </c>
      <c r="N57" s="29">
        <v>6329.44</v>
      </c>
      <c r="O57" s="30">
        <f>SUM(C57:N57)</f>
        <v>55115.43</v>
      </c>
      <c r="P57" s="29">
        <v>55289</v>
      </c>
      <c r="Q57" s="56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s="27" customFormat="1">
      <c r="A58" s="48" t="s">
        <v>54</v>
      </c>
      <c r="C58" s="29">
        <v>85.6</v>
      </c>
      <c r="D58" s="29">
        <v>85.6</v>
      </c>
      <c r="E58" s="29">
        <v>85.6</v>
      </c>
      <c r="F58" s="29">
        <v>171.2</v>
      </c>
      <c r="G58" s="29">
        <v>0</v>
      </c>
      <c r="H58" s="29">
        <v>171.2</v>
      </c>
      <c r="I58" s="29">
        <v>0</v>
      </c>
      <c r="J58" s="29">
        <v>85.6</v>
      </c>
      <c r="K58" s="29">
        <v>0</v>
      </c>
      <c r="L58" s="29">
        <v>171.2</v>
      </c>
      <c r="M58" s="29">
        <v>85.6</v>
      </c>
      <c r="N58" s="29">
        <v>85.6</v>
      </c>
      <c r="O58" s="30">
        <f>SUM(C58:N58)</f>
        <v>1027.2</v>
      </c>
      <c r="P58" s="29">
        <v>1099</v>
      </c>
      <c r="Q58" s="56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s="27" customFormat="1">
      <c r="A59" s="48" t="s">
        <v>55</v>
      </c>
      <c r="C59" s="29">
        <v>400</v>
      </c>
      <c r="D59" s="29">
        <v>428</v>
      </c>
      <c r="E59" s="29">
        <v>428</v>
      </c>
      <c r="F59" s="29">
        <v>428</v>
      </c>
      <c r="G59" s="29">
        <v>428</v>
      </c>
      <c r="H59" s="29">
        <v>428</v>
      </c>
      <c r="I59" s="29">
        <v>428</v>
      </c>
      <c r="J59" s="29">
        <v>428</v>
      </c>
      <c r="K59" s="29">
        <v>428</v>
      </c>
      <c r="L59" s="29">
        <v>0</v>
      </c>
      <c r="M59" s="29">
        <v>856</v>
      </c>
      <c r="N59" s="29">
        <v>428</v>
      </c>
      <c r="O59" s="30">
        <f>SUM(C59:N59)</f>
        <v>5108</v>
      </c>
      <c r="P59" s="29">
        <v>5136</v>
      </c>
      <c r="Q59" s="56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s="27" customFormat="1">
      <c r="A60" s="48" t="s">
        <v>56</v>
      </c>
      <c r="C60" s="29">
        <v>1960.25</v>
      </c>
      <c r="D60" s="29">
        <v>475</v>
      </c>
      <c r="E60" s="29">
        <v>0</v>
      </c>
      <c r="F60" s="29">
        <v>100</v>
      </c>
      <c r="G60" s="29">
        <v>525</v>
      </c>
      <c r="H60" s="29">
        <v>257</v>
      </c>
      <c r="I60" s="29">
        <v>444.03</v>
      </c>
      <c r="J60" s="29">
        <v>0</v>
      </c>
      <c r="K60" s="29">
        <v>1443.12</v>
      </c>
      <c r="L60" s="29">
        <v>27.87</v>
      </c>
      <c r="M60" s="29">
        <v>681.94</v>
      </c>
      <c r="N60" s="29">
        <v>98.58</v>
      </c>
      <c r="O60" s="30">
        <f>SUM(C60:N60)</f>
        <v>6012.7899999999991</v>
      </c>
      <c r="P60" s="29">
        <v>8000</v>
      </c>
      <c r="Q60" s="56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s="27" customFormat="1">
      <c r="A61" s="4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29"/>
      <c r="Q61" s="56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27" customFormat="1">
      <c r="A62" s="50" t="s">
        <v>57</v>
      </c>
      <c r="C62" s="25">
        <f t="shared" ref="C62:O62" si="8">SUM(C17:C60)</f>
        <v>11942.94</v>
      </c>
      <c r="D62" s="25">
        <f t="shared" si="8"/>
        <v>14765.14</v>
      </c>
      <c r="E62" s="25">
        <f t="shared" si="8"/>
        <v>8738.08</v>
      </c>
      <c r="F62" s="25">
        <f t="shared" si="8"/>
        <v>12356.8</v>
      </c>
      <c r="G62" s="25">
        <f t="shared" si="8"/>
        <v>18688.920000000002</v>
      </c>
      <c r="H62" s="25">
        <f t="shared" si="8"/>
        <v>16115.260000000002</v>
      </c>
      <c r="I62" s="25">
        <f t="shared" si="8"/>
        <v>10663.4</v>
      </c>
      <c r="J62" s="25">
        <f t="shared" si="8"/>
        <v>12453.59</v>
      </c>
      <c r="K62" s="25">
        <f t="shared" si="8"/>
        <v>12382.309999999998</v>
      </c>
      <c r="L62" s="25">
        <f t="shared" si="8"/>
        <v>9902.9600000000009</v>
      </c>
      <c r="M62" s="25">
        <f t="shared" si="8"/>
        <v>14849.950000000003</v>
      </c>
      <c r="N62" s="25">
        <f t="shared" si="8"/>
        <v>30253.759999999998</v>
      </c>
      <c r="O62" s="26">
        <f t="shared" si="8"/>
        <v>173113.11000000002</v>
      </c>
      <c r="P62" s="25">
        <f>SUM(P17:P54,P56)</f>
        <v>176186.99333333335</v>
      </c>
      <c r="Q62" s="55">
        <f>O62/P62</f>
        <v>0.98255329025612148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s="27" customFormat="1">
      <c r="A63" s="50" t="s">
        <v>58</v>
      </c>
      <c r="B63" s="32"/>
      <c r="C63" s="29">
        <f t="shared" ref="C63:O63" si="9">C11-C62</f>
        <v>32498.630000000005</v>
      </c>
      <c r="D63" s="29">
        <f t="shared" si="9"/>
        <v>-7402.65</v>
      </c>
      <c r="E63" s="29">
        <f t="shared" si="9"/>
        <v>4345.4500000000007</v>
      </c>
      <c r="F63" s="29">
        <f t="shared" si="9"/>
        <v>-6908.9199999999992</v>
      </c>
      <c r="G63" s="29">
        <f t="shared" si="9"/>
        <v>-11535.520000000002</v>
      </c>
      <c r="H63" s="29">
        <f t="shared" si="9"/>
        <v>13179.959999999995</v>
      </c>
      <c r="I63" s="29">
        <f t="shared" si="9"/>
        <v>7400.3700000000008</v>
      </c>
      <c r="J63" s="29">
        <f t="shared" si="9"/>
        <v>-3145.2999999999993</v>
      </c>
      <c r="K63" s="29">
        <f t="shared" si="9"/>
        <v>-602.29999999999745</v>
      </c>
      <c r="L63" s="29">
        <f t="shared" si="9"/>
        <v>13696.31</v>
      </c>
      <c r="M63" s="29">
        <f t="shared" si="9"/>
        <v>-4852.760000000002</v>
      </c>
      <c r="N63" s="29">
        <f t="shared" si="9"/>
        <v>-23732.649999999998</v>
      </c>
      <c r="O63" s="26">
        <f t="shared" si="9"/>
        <v>12940.619999999966</v>
      </c>
      <c r="P63" s="29"/>
      <c r="Q63" s="56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s="27" customFormat="1">
      <c r="A64" s="50"/>
      <c r="B64" s="3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6"/>
      <c r="P64" s="29"/>
      <c r="Q64" s="56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s="27" customFormat="1">
      <c r="A65" s="49" t="s">
        <v>114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9"/>
      <c r="Q65" s="56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27" customFormat="1" ht="14.4">
      <c r="A66" s="48"/>
      <c r="B66" s="35"/>
      <c r="C66" s="25" t="s">
        <v>11</v>
      </c>
      <c r="D66" s="25" t="s">
        <v>0</v>
      </c>
      <c r="E66" s="25" t="s">
        <v>1</v>
      </c>
      <c r="F66" s="25" t="s">
        <v>2</v>
      </c>
      <c r="G66" s="25" t="s">
        <v>3</v>
      </c>
      <c r="H66" s="25" t="s">
        <v>4</v>
      </c>
      <c r="I66" s="25" t="s">
        <v>5</v>
      </c>
      <c r="J66" s="25" t="s">
        <v>6</v>
      </c>
      <c r="K66" s="25" t="s">
        <v>7</v>
      </c>
      <c r="L66" s="25" t="s">
        <v>8</v>
      </c>
      <c r="M66" s="25" t="s">
        <v>9</v>
      </c>
      <c r="N66" s="25" t="s">
        <v>10</v>
      </c>
      <c r="O66" s="25" t="s">
        <v>11</v>
      </c>
      <c r="P66" s="29"/>
      <c r="Q66" s="56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27" customFormat="1" ht="14.4">
      <c r="A67" s="49" t="s">
        <v>60</v>
      </c>
      <c r="B67" s="3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  <c r="P67" s="29"/>
      <c r="Q67" s="56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s="27" customFormat="1">
      <c r="A68" s="48" t="s">
        <v>109</v>
      </c>
      <c r="C68" s="29">
        <v>102306</v>
      </c>
      <c r="D68" s="29">
        <v>109906.53</v>
      </c>
      <c r="E68" s="29">
        <v>103382.07</v>
      </c>
      <c r="F68" s="29">
        <v>104662.15</v>
      </c>
      <c r="G68" s="29">
        <v>95147.71</v>
      </c>
      <c r="H68" s="29">
        <v>84915.65</v>
      </c>
      <c r="I68" s="29">
        <v>101845.25</v>
      </c>
      <c r="J68" s="29">
        <v>109438.15</v>
      </c>
      <c r="K68" s="29">
        <v>106556.23</v>
      </c>
      <c r="L68" s="29">
        <v>99148.19</v>
      </c>
      <c r="M68" s="29">
        <v>176288.7</v>
      </c>
      <c r="N68" s="29">
        <v>169399.35</v>
      </c>
      <c r="O68" s="29">
        <v>148943.37</v>
      </c>
      <c r="P68" s="29"/>
      <c r="Q68" s="56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s="27" customFormat="1">
      <c r="A69" s="48" t="s">
        <v>110</v>
      </c>
      <c r="C69" s="29">
        <v>2980</v>
      </c>
      <c r="D69" s="29">
        <v>2980.22</v>
      </c>
      <c r="E69" s="29">
        <v>2980.24</v>
      </c>
      <c r="F69" s="29">
        <v>2980.42</v>
      </c>
      <c r="G69" s="29">
        <v>2980.44</v>
      </c>
      <c r="H69" s="29">
        <v>2980.79</v>
      </c>
      <c r="I69" s="29">
        <v>2981.15</v>
      </c>
      <c r="J69" s="29">
        <v>2981.52</v>
      </c>
      <c r="K69" s="29">
        <v>2981.89</v>
      </c>
      <c r="L69" s="29">
        <v>2982.23</v>
      </c>
      <c r="M69" s="29">
        <v>2982.6</v>
      </c>
      <c r="N69" s="29">
        <v>2982.96</v>
      </c>
      <c r="O69" s="29">
        <v>2984.02</v>
      </c>
      <c r="P69" s="29"/>
      <c r="Q69" s="56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s="27" customFormat="1">
      <c r="A70" s="48" t="s">
        <v>61</v>
      </c>
      <c r="C70" s="29">
        <v>74332</v>
      </c>
      <c r="D70" s="29">
        <v>72109.78</v>
      </c>
      <c r="E70" s="29">
        <v>73954.23</v>
      </c>
      <c r="F70" s="29">
        <v>72357.36</v>
      </c>
      <c r="G70" s="29">
        <v>69697.440000000002</v>
      </c>
      <c r="H70" s="29">
        <v>70989.179999999993</v>
      </c>
      <c r="I70" s="29">
        <v>73789.16</v>
      </c>
      <c r="J70" s="29">
        <v>72583.39</v>
      </c>
      <c r="K70" s="29">
        <v>74335.72</v>
      </c>
      <c r="L70" s="29">
        <v>73041.86</v>
      </c>
      <c r="M70" s="29">
        <v>73825.64</v>
      </c>
      <c r="N70" s="29">
        <v>74401.19</v>
      </c>
      <c r="O70" s="29">
        <v>74040.31</v>
      </c>
      <c r="P70" s="29"/>
      <c r="Q70" s="56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s="27" customFormat="1">
      <c r="A71" s="50" t="s">
        <v>62</v>
      </c>
      <c r="B71" s="36"/>
      <c r="C71" s="25">
        <f t="shared" ref="C71:O71" si="10">SUM(C68:C70)</f>
        <v>179618</v>
      </c>
      <c r="D71" s="25">
        <f t="shared" si="10"/>
        <v>184996.53</v>
      </c>
      <c r="E71" s="25">
        <f t="shared" si="10"/>
        <v>180316.54</v>
      </c>
      <c r="F71" s="25">
        <f t="shared" si="10"/>
        <v>179999.93</v>
      </c>
      <c r="G71" s="25">
        <f t="shared" si="10"/>
        <v>167825.59000000003</v>
      </c>
      <c r="H71" s="25">
        <f t="shared" si="10"/>
        <v>158885.62</v>
      </c>
      <c r="I71" s="25">
        <f t="shared" si="10"/>
        <v>178615.56</v>
      </c>
      <c r="J71" s="25">
        <f t="shared" si="10"/>
        <v>185003.06</v>
      </c>
      <c r="K71" s="25">
        <f t="shared" si="10"/>
        <v>183873.84</v>
      </c>
      <c r="L71" s="25">
        <f t="shared" si="10"/>
        <v>175172.28</v>
      </c>
      <c r="M71" s="25">
        <f t="shared" si="10"/>
        <v>253096.94</v>
      </c>
      <c r="N71" s="25">
        <f t="shared" si="10"/>
        <v>246783.5</v>
      </c>
      <c r="O71" s="26">
        <f t="shared" si="10"/>
        <v>225967.69999999998</v>
      </c>
      <c r="P71" s="29"/>
      <c r="Q71" s="5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s="27" customFormat="1">
      <c r="A72" s="4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29"/>
      <c r="Q72" s="56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27" customFormat="1">
      <c r="A73" s="4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  <c r="P73" s="29"/>
      <c r="Q73" s="56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s="27" customFormat="1">
      <c r="A74" s="49" t="s">
        <v>66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  <c r="P74" s="29"/>
      <c r="Q74" s="56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s="27" customFormat="1">
      <c r="A75" s="48" t="s">
        <v>67</v>
      </c>
      <c r="C75" s="29">
        <f t="shared" ref="C75:O75" si="11">C71</f>
        <v>179618</v>
      </c>
      <c r="D75" s="29">
        <f t="shared" si="11"/>
        <v>184996.53</v>
      </c>
      <c r="E75" s="29">
        <f t="shared" si="11"/>
        <v>180316.54</v>
      </c>
      <c r="F75" s="29">
        <f t="shared" si="11"/>
        <v>179999.93</v>
      </c>
      <c r="G75" s="29">
        <f t="shared" si="11"/>
        <v>167825.59000000003</v>
      </c>
      <c r="H75" s="29">
        <f t="shared" si="11"/>
        <v>158885.62</v>
      </c>
      <c r="I75" s="29">
        <f t="shared" si="11"/>
        <v>178615.56</v>
      </c>
      <c r="J75" s="29">
        <f t="shared" si="11"/>
        <v>185003.06</v>
      </c>
      <c r="K75" s="29">
        <f t="shared" si="11"/>
        <v>183873.84</v>
      </c>
      <c r="L75" s="29">
        <f t="shared" si="11"/>
        <v>175172.28</v>
      </c>
      <c r="M75" s="29">
        <f t="shared" si="11"/>
        <v>253096.94</v>
      </c>
      <c r="N75" s="29">
        <f t="shared" si="11"/>
        <v>246783.5</v>
      </c>
      <c r="O75" s="30">
        <f t="shared" si="11"/>
        <v>225967.69999999998</v>
      </c>
      <c r="P75" s="29"/>
      <c r="Q75" s="56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s="27" customFormat="1">
      <c r="A76" s="48" t="s">
        <v>68</v>
      </c>
      <c r="C76" s="29">
        <f>C101</f>
        <v>43777.340000000004</v>
      </c>
      <c r="D76" s="29">
        <f t="shared" ref="D76:O76" si="12">D101</f>
        <v>70159.28</v>
      </c>
      <c r="E76" s="29">
        <f t="shared" si="12"/>
        <v>70159.28</v>
      </c>
      <c r="F76" s="29">
        <f t="shared" si="12"/>
        <v>67018.63</v>
      </c>
      <c r="G76" s="29">
        <f t="shared" si="12"/>
        <v>63653.840000000004</v>
      </c>
      <c r="H76" s="29">
        <f t="shared" si="12"/>
        <v>65796.39</v>
      </c>
      <c r="I76" s="29">
        <f t="shared" si="12"/>
        <v>69411.390000000014</v>
      </c>
      <c r="J76" s="29">
        <f t="shared" si="12"/>
        <v>69411.390000000014</v>
      </c>
      <c r="K76" s="29">
        <f t="shared" si="12"/>
        <v>68327.360000000015</v>
      </c>
      <c r="L76" s="29">
        <f t="shared" si="12"/>
        <v>60926.36</v>
      </c>
      <c r="M76" s="29">
        <f t="shared" si="12"/>
        <v>116040.07999999999</v>
      </c>
      <c r="N76" s="29">
        <f t="shared" si="12"/>
        <v>95651.12</v>
      </c>
      <c r="O76" s="30">
        <f t="shared" si="12"/>
        <v>95286.24</v>
      </c>
      <c r="Q76" s="58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27" customFormat="1">
      <c r="A77" s="48" t="s">
        <v>69</v>
      </c>
      <c r="C77" s="29">
        <f t="shared" ref="C77" si="13">C162</f>
        <v>9590</v>
      </c>
      <c r="D77" s="29">
        <f>D162</f>
        <v>9090</v>
      </c>
      <c r="E77" s="29">
        <f t="shared" ref="E77:O77" si="14">E162</f>
        <v>8590</v>
      </c>
      <c r="F77" s="29">
        <f t="shared" si="14"/>
        <v>9060</v>
      </c>
      <c r="G77" s="29">
        <f t="shared" si="14"/>
        <v>8760.2000000000007</v>
      </c>
      <c r="H77" s="29">
        <f t="shared" si="14"/>
        <v>8880.2000000000007</v>
      </c>
      <c r="I77" s="29">
        <f t="shared" si="14"/>
        <v>9080.2000000000007</v>
      </c>
      <c r="J77" s="29">
        <f t="shared" si="14"/>
        <v>9130.2000000000007</v>
      </c>
      <c r="K77" s="29">
        <f t="shared" si="14"/>
        <v>10517.2</v>
      </c>
      <c r="L77" s="29">
        <f t="shared" si="14"/>
        <v>10517.2</v>
      </c>
      <c r="M77" s="29">
        <f t="shared" si="14"/>
        <v>10517.2</v>
      </c>
      <c r="N77" s="29">
        <f t="shared" si="14"/>
        <v>10517.2</v>
      </c>
      <c r="O77" s="30">
        <f t="shared" si="14"/>
        <v>10469.700000000001</v>
      </c>
      <c r="Q77" s="58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27" customFormat="1">
      <c r="A78" s="48" t="s">
        <v>70</v>
      </c>
      <c r="C78" s="29">
        <v>8118</v>
      </c>
      <c r="D78" s="29">
        <f>D134</f>
        <v>6957.3600000000006</v>
      </c>
      <c r="E78" s="29">
        <f t="shared" ref="E78:O78" si="15">E134</f>
        <v>6994.3600000000006</v>
      </c>
      <c r="F78" s="29">
        <f t="shared" si="15"/>
        <v>7109.3600000000006</v>
      </c>
      <c r="G78" s="29">
        <f t="shared" si="15"/>
        <v>7109.3600000000006</v>
      </c>
      <c r="H78" s="29">
        <f t="shared" si="15"/>
        <v>7109.3600000000006</v>
      </c>
      <c r="I78" s="29">
        <f t="shared" si="15"/>
        <v>7109.3600000000006</v>
      </c>
      <c r="J78" s="29">
        <f t="shared" si="15"/>
        <v>7206.3600000000006</v>
      </c>
      <c r="K78" s="29">
        <f t="shared" si="15"/>
        <v>7638.6100000000006</v>
      </c>
      <c r="L78" s="29">
        <f t="shared" si="15"/>
        <v>7638.6100000000006</v>
      </c>
      <c r="M78" s="29">
        <f t="shared" si="15"/>
        <v>7611.3200000000006</v>
      </c>
      <c r="N78" s="29">
        <f t="shared" si="15"/>
        <v>18106.169999999998</v>
      </c>
      <c r="O78" s="30">
        <f t="shared" si="15"/>
        <v>18114.169999999998</v>
      </c>
      <c r="Q78" s="5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27" customFormat="1">
      <c r="A79" s="48" t="s">
        <v>71</v>
      </c>
      <c r="C79" s="29">
        <v>13755</v>
      </c>
      <c r="D79" s="29">
        <v>14682</v>
      </c>
      <c r="E79" s="29">
        <v>14682</v>
      </c>
      <c r="F79" s="29">
        <v>14682</v>
      </c>
      <c r="G79" s="29">
        <v>14682</v>
      </c>
      <c r="H79" s="29">
        <v>14682</v>
      </c>
      <c r="I79" s="29">
        <v>14682</v>
      </c>
      <c r="J79" s="29">
        <v>14682</v>
      </c>
      <c r="K79" s="29">
        <v>14682</v>
      </c>
      <c r="L79" s="29">
        <v>14682</v>
      </c>
      <c r="M79" s="29">
        <v>14682</v>
      </c>
      <c r="N79" s="29">
        <v>14682</v>
      </c>
      <c r="O79" s="29">
        <v>14682</v>
      </c>
      <c r="Q79" s="5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27" customFormat="1">
      <c r="A80" s="50" t="s">
        <v>72</v>
      </c>
      <c r="B80" s="32"/>
      <c r="C80" s="25">
        <f t="shared" ref="C80:O80" si="16">IF(C76="",C75,C75-C76-C77-C78-C79)</f>
        <v>104377.66</v>
      </c>
      <c r="D80" s="25">
        <f t="shared" si="16"/>
        <v>84107.89</v>
      </c>
      <c r="E80" s="25">
        <f t="shared" si="16"/>
        <v>79890.900000000009</v>
      </c>
      <c r="F80" s="25">
        <f t="shared" si="16"/>
        <v>82129.939999999988</v>
      </c>
      <c r="G80" s="25">
        <f t="shared" si="16"/>
        <v>73620.190000000031</v>
      </c>
      <c r="H80" s="25">
        <f t="shared" si="16"/>
        <v>62417.67</v>
      </c>
      <c r="I80" s="25">
        <f t="shared" si="16"/>
        <v>78332.609999999986</v>
      </c>
      <c r="J80" s="25">
        <f t="shared" si="16"/>
        <v>84573.109999999986</v>
      </c>
      <c r="K80" s="25">
        <f t="shared" si="16"/>
        <v>82708.669999999984</v>
      </c>
      <c r="L80" s="25">
        <f t="shared" si="16"/>
        <v>81408.11</v>
      </c>
      <c r="M80" s="25">
        <f t="shared" si="16"/>
        <v>104246.34000000001</v>
      </c>
      <c r="N80" s="25">
        <f t="shared" si="16"/>
        <v>107827.01</v>
      </c>
      <c r="O80" s="26">
        <f t="shared" si="16"/>
        <v>87415.589999999982</v>
      </c>
      <c r="Q80" s="58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s="27" customFormat="1">
      <c r="A81" s="50"/>
      <c r="B81" s="27" t="s">
        <v>73</v>
      </c>
      <c r="C81" s="29"/>
      <c r="G81" s="27" t="s">
        <v>74</v>
      </c>
      <c r="O81" s="30"/>
      <c r="Q81" s="58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27" customFormat="1">
      <c r="A82" s="5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29"/>
      <c r="Q82" s="56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27" customFormat="1">
      <c r="A83" s="5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  <c r="P83" s="29"/>
      <c r="Q83" s="56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27" customFormat="1">
      <c r="A84" s="49" t="s">
        <v>75</v>
      </c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  <c r="P84" s="25"/>
      <c r="Q84" s="56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27" customFormat="1">
      <c r="A85" s="48"/>
      <c r="C85" s="25" t="s">
        <v>11</v>
      </c>
      <c r="D85" s="25" t="s">
        <v>0</v>
      </c>
      <c r="E85" s="25" t="s">
        <v>1</v>
      </c>
      <c r="F85" s="25" t="s">
        <v>2</v>
      </c>
      <c r="G85" s="25" t="s">
        <v>3</v>
      </c>
      <c r="H85" s="25" t="s">
        <v>4</v>
      </c>
      <c r="I85" s="25" t="s">
        <v>5</v>
      </c>
      <c r="J85" s="25" t="s">
        <v>6</v>
      </c>
      <c r="K85" s="25" t="s">
        <v>7</v>
      </c>
      <c r="L85" s="25" t="s">
        <v>8</v>
      </c>
      <c r="M85" s="25" t="s">
        <v>9</v>
      </c>
      <c r="N85" s="25" t="s">
        <v>10</v>
      </c>
      <c r="O85" s="25" t="s">
        <v>11</v>
      </c>
      <c r="P85" s="29"/>
      <c r="Q85" s="56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27" customFormat="1">
      <c r="A86" s="50" t="s">
        <v>76</v>
      </c>
      <c r="C86" s="25">
        <v>8689.16</v>
      </c>
      <c r="D86" s="25">
        <f>IF(AND(D88="",D87=""),"",C86+D88-D87)</f>
        <v>16071.1</v>
      </c>
      <c r="E86" s="25">
        <f t="shared" ref="E86:O86" si="17">IF(AND(E88="",E87=""),"",D86+E88-E87)</f>
        <v>16071.1</v>
      </c>
      <c r="F86" s="25">
        <f t="shared" si="17"/>
        <v>12930.45</v>
      </c>
      <c r="G86" s="25">
        <f t="shared" si="17"/>
        <v>12910.810000000001</v>
      </c>
      <c r="H86" s="25">
        <f t="shared" si="17"/>
        <v>12910.810000000001</v>
      </c>
      <c r="I86" s="25">
        <f t="shared" si="17"/>
        <v>16525.810000000001</v>
      </c>
      <c r="J86" s="25">
        <f t="shared" si="17"/>
        <v>16525.810000000001</v>
      </c>
      <c r="K86" s="25">
        <f t="shared" si="17"/>
        <v>16525.810000000001</v>
      </c>
      <c r="L86" s="25">
        <f t="shared" si="17"/>
        <v>16525.810000000001</v>
      </c>
      <c r="M86" s="25">
        <f t="shared" si="17"/>
        <v>16525.810000000001</v>
      </c>
      <c r="N86" s="25">
        <f t="shared" si="17"/>
        <v>16525.810000000001</v>
      </c>
      <c r="O86" s="26">
        <f t="shared" si="17"/>
        <v>16525.810000000001</v>
      </c>
      <c r="Q86" s="5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s="27" customFormat="1">
      <c r="A87" s="48" t="s">
        <v>77</v>
      </c>
      <c r="C87" s="29">
        <v>0</v>
      </c>
      <c r="D87" s="29">
        <v>740.06</v>
      </c>
      <c r="E87" s="29">
        <v>0</v>
      </c>
      <c r="F87" s="29">
        <v>3140.65</v>
      </c>
      <c r="G87" s="29">
        <v>19.64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30">
        <v>0</v>
      </c>
      <c r="P87" s="37"/>
      <c r="Q87" s="59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s="27" customFormat="1">
      <c r="A88" s="48" t="s">
        <v>78</v>
      </c>
      <c r="C88" s="29">
        <v>0</v>
      </c>
      <c r="D88" s="29">
        <v>8122</v>
      </c>
      <c r="E88" s="29">
        <v>0</v>
      </c>
      <c r="F88" s="29">
        <v>0</v>
      </c>
      <c r="G88" s="29">
        <v>0</v>
      </c>
      <c r="H88" s="29">
        <v>0</v>
      </c>
      <c r="I88" s="29">
        <v>3615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30">
        <v>0</v>
      </c>
      <c r="P88" s="37"/>
      <c r="Q88" s="59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s="27" customFormat="1">
      <c r="A89" s="50" t="s">
        <v>79</v>
      </c>
      <c r="B89" s="32"/>
      <c r="C89" s="25">
        <v>3126.29</v>
      </c>
      <c r="D89" s="25">
        <f>IF(AND(D91="",D90=""),"",C89+D91-D90)</f>
        <v>17126.29</v>
      </c>
      <c r="E89" s="25">
        <f t="shared" ref="E89:O89" si="18">IF(AND(E91="",E90=""),"",D89+E91-E90)</f>
        <v>17126.29</v>
      </c>
      <c r="F89" s="25">
        <f t="shared" si="18"/>
        <v>17126.29</v>
      </c>
      <c r="G89" s="25">
        <f t="shared" si="18"/>
        <v>14626.29</v>
      </c>
      <c r="H89" s="25">
        <f t="shared" si="18"/>
        <v>19626.29</v>
      </c>
      <c r="I89" s="25">
        <f t="shared" si="18"/>
        <v>19626.29</v>
      </c>
      <c r="J89" s="25">
        <f t="shared" si="18"/>
        <v>19626.29</v>
      </c>
      <c r="K89" s="25">
        <f t="shared" si="18"/>
        <v>19042.260000000002</v>
      </c>
      <c r="L89" s="25">
        <f t="shared" si="18"/>
        <v>11641.260000000002</v>
      </c>
      <c r="M89" s="25">
        <f t="shared" si="18"/>
        <v>66754.98</v>
      </c>
      <c r="N89" s="25">
        <f t="shared" si="18"/>
        <v>46366.02</v>
      </c>
      <c r="O89" s="26">
        <f t="shared" si="18"/>
        <v>37853.379999999997</v>
      </c>
      <c r="P89" s="37"/>
      <c r="Q89" s="59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27" customFormat="1">
      <c r="A90" s="48" t="s">
        <v>77</v>
      </c>
      <c r="C90" s="29">
        <v>0</v>
      </c>
      <c r="D90" s="29">
        <v>0</v>
      </c>
      <c r="E90" s="29">
        <v>0</v>
      </c>
      <c r="F90" s="29">
        <v>0</v>
      </c>
      <c r="G90" s="29">
        <v>2500</v>
      </c>
      <c r="H90" s="29">
        <v>0</v>
      </c>
      <c r="I90" s="29">
        <v>0</v>
      </c>
      <c r="J90" s="29">
        <v>0</v>
      </c>
      <c r="K90" s="29">
        <v>584.03</v>
      </c>
      <c r="L90" s="29">
        <v>7401</v>
      </c>
      <c r="M90" s="29">
        <f>1599.34 +318.39</f>
        <v>1917.73</v>
      </c>
      <c r="N90" s="29">
        <v>20388.96</v>
      </c>
      <c r="O90" s="30">
        <v>8512.64</v>
      </c>
      <c r="P90" s="37"/>
      <c r="Q90" s="59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s="27" customFormat="1">
      <c r="A91" s="48" t="s">
        <v>78</v>
      </c>
      <c r="C91" s="29">
        <v>0</v>
      </c>
      <c r="D91" s="29">
        <v>14000</v>
      </c>
      <c r="E91" s="29">
        <v>0</v>
      </c>
      <c r="F91" s="29">
        <v>0</v>
      </c>
      <c r="G91" s="29">
        <v>0</v>
      </c>
      <c r="H91" s="29">
        <v>5000</v>
      </c>
      <c r="I91" s="29">
        <v>0</v>
      </c>
      <c r="J91" s="29">
        <v>0</v>
      </c>
      <c r="K91" s="29">
        <v>0</v>
      </c>
      <c r="L91" s="29">
        <v>0</v>
      </c>
      <c r="M91" s="29">
        <v>57031.45</v>
      </c>
      <c r="N91" s="29">
        <v>0</v>
      </c>
      <c r="O91" s="30">
        <v>0</v>
      </c>
      <c r="P91" s="37"/>
      <c r="Q91" s="5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27" customFormat="1">
      <c r="A92" s="50" t="s">
        <v>113</v>
      </c>
      <c r="B92" s="32"/>
      <c r="C92" s="25">
        <v>24428.82</v>
      </c>
      <c r="D92" s="25">
        <f>IF(AND(D94="",D93=""),"",C92+D94-D93)</f>
        <v>24428.82</v>
      </c>
      <c r="E92" s="25">
        <f t="shared" ref="E92:O92" si="19">IF(AND(E94="",E93=""),"",D92+E94-E93)</f>
        <v>24428.82</v>
      </c>
      <c r="F92" s="25">
        <f t="shared" si="19"/>
        <v>24428.82</v>
      </c>
      <c r="G92" s="25">
        <f t="shared" si="19"/>
        <v>23583.67</v>
      </c>
      <c r="H92" s="25">
        <f t="shared" si="19"/>
        <v>20726.219999999998</v>
      </c>
      <c r="I92" s="25">
        <f t="shared" si="19"/>
        <v>20726.219999999998</v>
      </c>
      <c r="J92" s="25">
        <f t="shared" si="19"/>
        <v>20726.219999999998</v>
      </c>
      <c r="K92" s="25">
        <f t="shared" si="19"/>
        <v>20726.219999999998</v>
      </c>
      <c r="L92" s="25">
        <f t="shared" si="19"/>
        <v>20726.219999999998</v>
      </c>
      <c r="M92" s="25">
        <f t="shared" si="19"/>
        <v>20726.219999999998</v>
      </c>
      <c r="N92" s="25">
        <f t="shared" si="19"/>
        <v>20726.219999999998</v>
      </c>
      <c r="O92" s="26">
        <f t="shared" si="19"/>
        <v>20726.219999999998</v>
      </c>
      <c r="P92" s="37"/>
      <c r="Q92" s="5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s="27" customFormat="1">
      <c r="A93" s="48" t="s">
        <v>77</v>
      </c>
      <c r="C93" s="29">
        <v>0</v>
      </c>
      <c r="D93" s="29">
        <v>0</v>
      </c>
      <c r="E93" s="29">
        <v>0</v>
      </c>
      <c r="F93" s="29">
        <v>0</v>
      </c>
      <c r="G93" s="29">
        <v>845.15</v>
      </c>
      <c r="H93" s="29">
        <v>2857.45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30">
        <v>0</v>
      </c>
      <c r="P93" s="37"/>
      <c r="Q93" s="5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s="27" customFormat="1">
      <c r="A94" s="48" t="s">
        <v>78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30">
        <v>0</v>
      </c>
      <c r="P94" s="37"/>
      <c r="Q94" s="59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s="27" customFormat="1">
      <c r="A95" s="49" t="s">
        <v>80</v>
      </c>
      <c r="C95" s="25">
        <v>6610.07</v>
      </c>
      <c r="D95" s="25">
        <f>IF(AND(D97="",D96=""),"",C95+D97-D96)</f>
        <v>11610.07</v>
      </c>
      <c r="E95" s="25">
        <f t="shared" ref="E95:O95" si="20">IF(AND(E97="",E96=""),"",D95+E97-E96)</f>
        <v>11610.07</v>
      </c>
      <c r="F95" s="25">
        <f t="shared" si="20"/>
        <v>11610.07</v>
      </c>
      <c r="G95" s="25">
        <f t="shared" si="20"/>
        <v>11610.07</v>
      </c>
      <c r="H95" s="25">
        <f t="shared" si="20"/>
        <v>11610.07</v>
      </c>
      <c r="I95" s="25">
        <f t="shared" si="20"/>
        <v>11610.07</v>
      </c>
      <c r="J95" s="25">
        <f t="shared" si="20"/>
        <v>11610.07</v>
      </c>
      <c r="K95" s="25">
        <f t="shared" si="20"/>
        <v>11110.07</v>
      </c>
      <c r="L95" s="25">
        <f t="shared" si="20"/>
        <v>11110.07</v>
      </c>
      <c r="M95" s="25">
        <f t="shared" si="20"/>
        <v>11110.07</v>
      </c>
      <c r="N95" s="25">
        <f t="shared" si="20"/>
        <v>11110.07</v>
      </c>
      <c r="O95" s="26">
        <f t="shared" si="20"/>
        <v>10681.83</v>
      </c>
      <c r="P95" s="37"/>
      <c r="Q95" s="5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s="27" customFormat="1">
      <c r="A96" s="48" t="s">
        <v>77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500</v>
      </c>
      <c r="L96" s="29">
        <v>0</v>
      </c>
      <c r="M96" s="29">
        <v>0</v>
      </c>
      <c r="N96" s="29">
        <v>0</v>
      </c>
      <c r="O96" s="30">
        <v>612.24</v>
      </c>
      <c r="P96" s="37"/>
      <c r="Q96" s="5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s="27" customFormat="1">
      <c r="A97" s="48" t="s">
        <v>78</v>
      </c>
      <c r="C97" s="29">
        <v>0</v>
      </c>
      <c r="D97" s="29">
        <v>5000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30">
        <v>184</v>
      </c>
      <c r="P97" s="37"/>
      <c r="Q97" s="5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27" customFormat="1">
      <c r="A98" s="49" t="s">
        <v>105</v>
      </c>
      <c r="C98" s="25">
        <v>923</v>
      </c>
      <c r="D98" s="25">
        <f>IF(AND(D100="",D99=""),"",C98+D100-D99)</f>
        <v>923</v>
      </c>
      <c r="E98" s="25">
        <f t="shared" ref="E98:O98" si="21">IF(AND(E100="",E99=""),"",D98+E100-E99)</f>
        <v>923</v>
      </c>
      <c r="F98" s="25">
        <f t="shared" si="21"/>
        <v>923</v>
      </c>
      <c r="G98" s="25">
        <f t="shared" si="21"/>
        <v>923</v>
      </c>
      <c r="H98" s="25">
        <f t="shared" si="21"/>
        <v>923</v>
      </c>
      <c r="I98" s="25">
        <f t="shared" si="21"/>
        <v>923</v>
      </c>
      <c r="J98" s="25">
        <f t="shared" si="21"/>
        <v>923</v>
      </c>
      <c r="K98" s="25">
        <f t="shared" si="21"/>
        <v>923</v>
      </c>
      <c r="L98" s="25">
        <f t="shared" si="21"/>
        <v>923</v>
      </c>
      <c r="M98" s="25">
        <f t="shared" si="21"/>
        <v>923</v>
      </c>
      <c r="N98" s="25">
        <f t="shared" si="21"/>
        <v>923</v>
      </c>
      <c r="O98" s="26">
        <f t="shared" si="21"/>
        <v>9499</v>
      </c>
      <c r="Q98" s="56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s="27" customFormat="1">
      <c r="A99" s="48" t="s">
        <v>77</v>
      </c>
      <c r="C99" s="62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30">
        <v>0</v>
      </c>
      <c r="P99" s="29"/>
      <c r="Q99" s="56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s="27" customFormat="1">
      <c r="A100" s="48" t="s">
        <v>78</v>
      </c>
      <c r="C100" s="33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30">
        <v>8576</v>
      </c>
      <c r="P100" s="29"/>
      <c r="Q100" s="56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s="27" customFormat="1">
      <c r="A101" s="50" t="s">
        <v>12</v>
      </c>
      <c r="C101" s="25">
        <f>C86+C89+C92+C95+C98</f>
        <v>43777.340000000004</v>
      </c>
      <c r="D101" s="24">
        <f t="shared" ref="D101:O101" si="22">D86+D89+D92+D95+D98</f>
        <v>70159.28</v>
      </c>
      <c r="E101" s="24">
        <f t="shared" si="22"/>
        <v>70159.28</v>
      </c>
      <c r="F101" s="24">
        <f t="shared" si="22"/>
        <v>67018.63</v>
      </c>
      <c r="G101" s="24">
        <f t="shared" si="22"/>
        <v>63653.840000000004</v>
      </c>
      <c r="H101" s="24">
        <f t="shared" si="22"/>
        <v>65796.39</v>
      </c>
      <c r="I101" s="24">
        <f t="shared" si="22"/>
        <v>69411.390000000014</v>
      </c>
      <c r="J101" s="24">
        <f t="shared" si="22"/>
        <v>69411.390000000014</v>
      </c>
      <c r="K101" s="24">
        <f t="shared" si="22"/>
        <v>68327.360000000015</v>
      </c>
      <c r="L101" s="24">
        <f t="shared" si="22"/>
        <v>60926.36</v>
      </c>
      <c r="M101" s="24">
        <f t="shared" si="22"/>
        <v>116040.07999999999</v>
      </c>
      <c r="N101" s="24">
        <f t="shared" si="22"/>
        <v>95651.12</v>
      </c>
      <c r="O101" s="24">
        <f t="shared" si="22"/>
        <v>95286.24</v>
      </c>
      <c r="Q101" s="5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s="27" customFormat="1">
      <c r="A102" s="50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/>
      <c r="P102" s="29"/>
      <c r="Q102" s="56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s="27" customFormat="1">
      <c r="A103" s="49" t="s">
        <v>81</v>
      </c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6"/>
      <c r="P103" s="31"/>
      <c r="Q103" s="59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s="27" customFormat="1">
      <c r="A104" s="49" t="s">
        <v>82</v>
      </c>
      <c r="B104" s="32"/>
      <c r="C104" s="25">
        <v>786</v>
      </c>
      <c r="D104" s="26">
        <f t="shared" ref="D104" si="23">IF(AND(D106="",D105=""),"",C104+D106-D105)</f>
        <v>786</v>
      </c>
      <c r="E104" s="25">
        <f t="shared" ref="E104:O104" si="24">IF(AND(E106="",E105=""),"",D104+E106-E105)</f>
        <v>786</v>
      </c>
      <c r="F104" s="25">
        <f t="shared" si="24"/>
        <v>786</v>
      </c>
      <c r="G104" s="25">
        <f t="shared" si="24"/>
        <v>786</v>
      </c>
      <c r="H104" s="25">
        <f t="shared" si="24"/>
        <v>786</v>
      </c>
      <c r="I104" s="25">
        <f t="shared" si="24"/>
        <v>786</v>
      </c>
      <c r="J104" s="25">
        <f t="shared" si="24"/>
        <v>786</v>
      </c>
      <c r="K104" s="25">
        <f t="shared" si="24"/>
        <v>786</v>
      </c>
      <c r="L104" s="25">
        <f t="shared" si="24"/>
        <v>786</v>
      </c>
      <c r="M104" s="25">
        <f t="shared" si="24"/>
        <v>786</v>
      </c>
      <c r="N104" s="25">
        <f t="shared" si="24"/>
        <v>786</v>
      </c>
      <c r="O104" s="26">
        <f t="shared" si="24"/>
        <v>786</v>
      </c>
      <c r="P104" s="37"/>
      <c r="Q104" s="5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s="27" customFormat="1">
      <c r="A105" s="48" t="s">
        <v>77</v>
      </c>
      <c r="C105" s="29">
        <v>0</v>
      </c>
      <c r="D105" s="30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30">
        <v>0</v>
      </c>
      <c r="P105" s="37"/>
      <c r="Q105" s="5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s="27" customFormat="1">
      <c r="A106" s="48" t="s">
        <v>78</v>
      </c>
      <c r="C106" s="29">
        <v>0</v>
      </c>
      <c r="D106" s="30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30">
        <v>0</v>
      </c>
      <c r="P106" s="37"/>
      <c r="Q106" s="59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s="27" customFormat="1">
      <c r="A107" s="49" t="s">
        <v>83</v>
      </c>
      <c r="C107" s="25">
        <v>986</v>
      </c>
      <c r="D107" s="26">
        <f t="shared" ref="D107" si="25">IF(AND(D109="",D108=""),"",C107+D109-D108)</f>
        <v>986</v>
      </c>
      <c r="E107" s="25">
        <f t="shared" ref="E107:O107" si="26">IF(AND(E109="",E108=""),"",D107+E109-E108)</f>
        <v>986</v>
      </c>
      <c r="F107" s="25">
        <f t="shared" si="26"/>
        <v>986</v>
      </c>
      <c r="G107" s="25">
        <f t="shared" si="26"/>
        <v>986</v>
      </c>
      <c r="H107" s="25">
        <f t="shared" si="26"/>
        <v>986</v>
      </c>
      <c r="I107" s="25">
        <f>IF(AND(I109="",I108=""),"",H107+I109-I108)</f>
        <v>986</v>
      </c>
      <c r="J107" s="25">
        <f t="shared" si="26"/>
        <v>986</v>
      </c>
      <c r="K107" s="25">
        <f t="shared" si="26"/>
        <v>986</v>
      </c>
      <c r="L107" s="25">
        <f t="shared" si="26"/>
        <v>986</v>
      </c>
      <c r="M107" s="25">
        <f t="shared" si="26"/>
        <v>1131.03</v>
      </c>
      <c r="N107" s="25">
        <f t="shared" si="26"/>
        <v>1140.25</v>
      </c>
      <c r="O107" s="26">
        <f t="shared" si="26"/>
        <v>1140.25</v>
      </c>
      <c r="P107" s="37"/>
      <c r="Q107" s="59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s="27" customFormat="1">
      <c r="A108" s="48" t="s">
        <v>77</v>
      </c>
      <c r="C108" s="29">
        <v>0</v>
      </c>
      <c r="D108" s="30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153.97</v>
      </c>
      <c r="N108" s="29">
        <v>0</v>
      </c>
      <c r="O108" s="30">
        <v>0</v>
      </c>
      <c r="P108" s="37"/>
      <c r="Q108" s="5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s="27" customFormat="1">
      <c r="A109" s="48" t="s">
        <v>78</v>
      </c>
      <c r="C109" s="29">
        <v>0</v>
      </c>
      <c r="D109" s="30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299</v>
      </c>
      <c r="N109" s="29">
        <v>9.2200000000000006</v>
      </c>
      <c r="O109" s="30">
        <v>0</v>
      </c>
      <c r="P109" s="37"/>
      <c r="Q109" s="5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s="27" customFormat="1">
      <c r="A110" s="49" t="s">
        <v>102</v>
      </c>
      <c r="B110" s="24"/>
      <c r="C110" s="25">
        <v>71</v>
      </c>
      <c r="D110" s="26">
        <f t="shared" ref="D110" si="27">IF(AND(D112="",D111=""),"",C110+D112-D111)</f>
        <v>71</v>
      </c>
      <c r="E110" s="25">
        <f t="shared" ref="E110:O110" si="28">IF(AND(E112="",E111=""),"",D110+E112-E111)</f>
        <v>71</v>
      </c>
      <c r="F110" s="25">
        <f t="shared" si="28"/>
        <v>71</v>
      </c>
      <c r="G110" s="25">
        <f t="shared" si="28"/>
        <v>71</v>
      </c>
      <c r="H110" s="25">
        <f t="shared" si="28"/>
        <v>71</v>
      </c>
      <c r="I110" s="25">
        <f t="shared" si="28"/>
        <v>71</v>
      </c>
      <c r="J110" s="25">
        <f t="shared" si="28"/>
        <v>71</v>
      </c>
      <c r="K110" s="25">
        <f t="shared" si="28"/>
        <v>71</v>
      </c>
      <c r="L110" s="25">
        <f t="shared" si="28"/>
        <v>71</v>
      </c>
      <c r="M110" s="25">
        <f t="shared" si="28"/>
        <v>71</v>
      </c>
      <c r="N110" s="25">
        <f t="shared" si="28"/>
        <v>71</v>
      </c>
      <c r="O110" s="26">
        <f t="shared" si="28"/>
        <v>71</v>
      </c>
      <c r="P110" s="34"/>
      <c r="Q110" s="60"/>
      <c r="R110" s="3"/>
      <c r="S110" s="3"/>
      <c r="T110" s="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s="27" customFormat="1">
      <c r="A111" s="52" t="s">
        <v>84</v>
      </c>
      <c r="C111" s="29">
        <v>0</v>
      </c>
      <c r="D111" s="30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30">
        <v>0</v>
      </c>
      <c r="P111" s="37"/>
      <c r="Q111" s="5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s="27" customFormat="1">
      <c r="A112" s="52" t="s">
        <v>85</v>
      </c>
      <c r="C112" s="29">
        <v>0</v>
      </c>
      <c r="D112" s="30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30">
        <v>0</v>
      </c>
      <c r="P112" s="37"/>
      <c r="Q112" s="59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s="27" customFormat="1">
      <c r="A113" s="49" t="s">
        <v>86</v>
      </c>
      <c r="B113" s="24"/>
      <c r="C113" s="25">
        <v>558.53</v>
      </c>
      <c r="D113" s="26">
        <f t="shared" ref="D113" si="29">IF(AND(D115="",D114=""),"",C113+D115-D114)</f>
        <v>558.53</v>
      </c>
      <c r="E113" s="25">
        <f t="shared" ref="E113:O113" si="30">IF(AND(E115="",E114=""),"",D113+E115-E114)</f>
        <v>558.53</v>
      </c>
      <c r="F113" s="25">
        <f t="shared" si="30"/>
        <v>558.53</v>
      </c>
      <c r="G113" s="25">
        <f t="shared" si="30"/>
        <v>558.53</v>
      </c>
      <c r="H113" s="25">
        <f t="shared" si="30"/>
        <v>558.53</v>
      </c>
      <c r="I113" s="25">
        <f t="shared" si="30"/>
        <v>558.53</v>
      </c>
      <c r="J113" s="25">
        <f t="shared" si="30"/>
        <v>558.53</v>
      </c>
      <c r="K113" s="25">
        <f t="shared" si="30"/>
        <v>558.53</v>
      </c>
      <c r="L113" s="25">
        <f t="shared" si="30"/>
        <v>558.53</v>
      </c>
      <c r="M113" s="25">
        <f t="shared" si="30"/>
        <v>558.53</v>
      </c>
      <c r="N113" s="25">
        <f t="shared" si="30"/>
        <v>558.53</v>
      </c>
      <c r="O113" s="26">
        <f t="shared" si="30"/>
        <v>558.53</v>
      </c>
      <c r="P113" s="34"/>
      <c r="Q113" s="60"/>
      <c r="R113" s="3"/>
      <c r="S113" s="3"/>
      <c r="T113" s="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s="27" customFormat="1">
      <c r="A114" s="52" t="s">
        <v>84</v>
      </c>
      <c r="C114" s="29">
        <v>0</v>
      </c>
      <c r="D114" s="30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30">
        <v>0</v>
      </c>
      <c r="P114" s="37"/>
      <c r="Q114" s="5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s="24" customFormat="1">
      <c r="A115" s="52" t="s">
        <v>85</v>
      </c>
      <c r="B115" s="27"/>
      <c r="C115" s="29">
        <v>0</v>
      </c>
      <c r="D115" s="30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30">
        <v>0</v>
      </c>
      <c r="P115" s="37"/>
      <c r="Q115" s="59"/>
      <c r="R115" s="4"/>
      <c r="S115" s="4"/>
      <c r="T115" s="4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27" customFormat="1">
      <c r="A116" s="49" t="s">
        <v>87</v>
      </c>
      <c r="C116" s="25">
        <v>2551.8300000000004</v>
      </c>
      <c r="D116" s="26">
        <f t="shared" ref="D116" si="31">IF(AND(D118="",D117=""),"",C116+D118-D117)</f>
        <v>2551.8300000000004</v>
      </c>
      <c r="E116" s="25">
        <f t="shared" ref="E116:O116" si="32">IF(AND(E118="",E117=""),"",D116+E118-E117)</f>
        <v>2551.8300000000004</v>
      </c>
      <c r="F116" s="25">
        <f t="shared" si="32"/>
        <v>2666.8300000000004</v>
      </c>
      <c r="G116" s="25">
        <f t="shared" si="32"/>
        <v>2666.8300000000004</v>
      </c>
      <c r="H116" s="25">
        <f t="shared" si="32"/>
        <v>2666.8300000000004</v>
      </c>
      <c r="I116" s="25">
        <f t="shared" si="32"/>
        <v>2666.8300000000004</v>
      </c>
      <c r="J116" s="25">
        <f t="shared" si="32"/>
        <v>2666.8300000000004</v>
      </c>
      <c r="K116" s="25">
        <f t="shared" si="32"/>
        <v>2666.8300000000004</v>
      </c>
      <c r="L116" s="25">
        <f t="shared" si="32"/>
        <v>2666.8300000000004</v>
      </c>
      <c r="M116" s="25">
        <f t="shared" si="32"/>
        <v>2626.4000000000005</v>
      </c>
      <c r="N116" s="25">
        <f t="shared" si="32"/>
        <v>2626.4000000000005</v>
      </c>
      <c r="O116" s="26">
        <f t="shared" si="32"/>
        <v>2626.4000000000005</v>
      </c>
      <c r="P116" s="37"/>
      <c r="Q116" s="59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s="27" customFormat="1">
      <c r="A117" s="48" t="s">
        <v>77</v>
      </c>
      <c r="C117" s="29">
        <v>0</v>
      </c>
      <c r="D117" s="30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40.43</v>
      </c>
      <c r="N117" s="29">
        <v>0</v>
      </c>
      <c r="O117" s="30">
        <v>0</v>
      </c>
      <c r="P117" s="37"/>
      <c r="Q117" s="59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s="24" customFormat="1">
      <c r="A118" s="48" t="s">
        <v>78</v>
      </c>
      <c r="B118" s="27"/>
      <c r="C118" s="29">
        <v>0</v>
      </c>
      <c r="D118" s="30">
        <v>0</v>
      </c>
      <c r="E118" s="29">
        <v>0</v>
      </c>
      <c r="F118" s="29">
        <v>115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30">
        <v>0</v>
      </c>
      <c r="P118" s="37"/>
      <c r="Q118" s="59"/>
      <c r="R118" s="4"/>
      <c r="S118" s="4"/>
      <c r="T118" s="4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27" customFormat="1">
      <c r="A119" s="49" t="s">
        <v>88</v>
      </c>
      <c r="C119" s="25">
        <v>75.5</v>
      </c>
      <c r="D119" s="26">
        <f t="shared" ref="D119" si="33">IF(AND(D121="",D120=""),"",C119+D121-D120)</f>
        <v>23.5</v>
      </c>
      <c r="E119" s="25">
        <f t="shared" ref="E119:J119" si="34">IF(AND(E121="",E120=""),"",D119+E121-E120)</f>
        <v>23.5</v>
      </c>
      <c r="F119" s="25">
        <f t="shared" si="34"/>
        <v>23.5</v>
      </c>
      <c r="G119" s="25">
        <f t="shared" si="34"/>
        <v>23.5</v>
      </c>
      <c r="H119" s="25">
        <f t="shared" si="34"/>
        <v>23.5</v>
      </c>
      <c r="I119" s="25">
        <f t="shared" si="34"/>
        <v>23.5</v>
      </c>
      <c r="J119" s="25">
        <f t="shared" si="34"/>
        <v>23.5</v>
      </c>
      <c r="K119" s="25">
        <f>IF(AND(K121="",K120=""),"",J119+K121-K120)</f>
        <v>23.5</v>
      </c>
      <c r="L119" s="25">
        <f t="shared" ref="L119:O119" si="35">IF(AND(L121="",L120=""),"",K119+L121-L120)</f>
        <v>23.5</v>
      </c>
      <c r="M119" s="25">
        <f t="shared" si="35"/>
        <v>23.5</v>
      </c>
      <c r="N119" s="25">
        <f t="shared" si="35"/>
        <v>23.5</v>
      </c>
      <c r="O119" s="26">
        <f t="shared" si="35"/>
        <v>23.5</v>
      </c>
      <c r="P119" s="37"/>
      <c r="Q119" s="59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s="27" customFormat="1">
      <c r="A120" s="48" t="s">
        <v>77</v>
      </c>
      <c r="C120" s="29">
        <v>0</v>
      </c>
      <c r="D120" s="30">
        <v>52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30">
        <v>0</v>
      </c>
      <c r="P120" s="37"/>
      <c r="Q120" s="59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s="27" customFormat="1">
      <c r="A121" s="48" t="s">
        <v>78</v>
      </c>
      <c r="C121" s="29">
        <v>0</v>
      </c>
      <c r="D121" s="30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30">
        <v>0</v>
      </c>
      <c r="P121" s="37"/>
      <c r="Q121" s="59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s="27" customFormat="1">
      <c r="A122" s="49" t="s">
        <v>90</v>
      </c>
      <c r="B122" s="24"/>
      <c r="C122" s="25">
        <v>1209</v>
      </c>
      <c r="D122" s="26">
        <f t="shared" ref="D122" si="36">IF(AND(D124="",D123=""),"",C122+D124-D123)</f>
        <v>1209</v>
      </c>
      <c r="E122" s="25">
        <f t="shared" ref="E122:O122" si="37">IF(AND(E124="",E123=""),"",D122+E124-E123)</f>
        <v>1209</v>
      </c>
      <c r="F122" s="25">
        <f t="shared" si="37"/>
        <v>1209</v>
      </c>
      <c r="G122" s="25">
        <f t="shared" si="37"/>
        <v>1209</v>
      </c>
      <c r="H122" s="25">
        <f t="shared" si="37"/>
        <v>1209</v>
      </c>
      <c r="I122" s="25">
        <f t="shared" si="37"/>
        <v>1209</v>
      </c>
      <c r="J122" s="25">
        <f t="shared" si="37"/>
        <v>1209</v>
      </c>
      <c r="K122" s="25">
        <f t="shared" si="37"/>
        <v>1329</v>
      </c>
      <c r="L122" s="25">
        <f t="shared" si="37"/>
        <v>1329</v>
      </c>
      <c r="M122" s="25">
        <f t="shared" si="37"/>
        <v>1163.06</v>
      </c>
      <c r="N122" s="25">
        <f t="shared" si="37"/>
        <v>1106.6299999999999</v>
      </c>
      <c r="O122" s="26">
        <f t="shared" si="37"/>
        <v>1106.6299999999999</v>
      </c>
      <c r="P122" s="34"/>
      <c r="Q122" s="60"/>
      <c r="R122" s="3"/>
      <c r="S122" s="3"/>
      <c r="T122" s="3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s="27" customFormat="1">
      <c r="A123" s="48" t="s">
        <v>77</v>
      </c>
      <c r="C123" s="29">
        <v>0</v>
      </c>
      <c r="D123" s="30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165.94</v>
      </c>
      <c r="N123" s="29">
        <v>56.43</v>
      </c>
      <c r="O123" s="30">
        <v>0</v>
      </c>
      <c r="P123" s="37"/>
      <c r="Q123" s="5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s="27" customFormat="1">
      <c r="A124" s="48" t="s">
        <v>78</v>
      </c>
      <c r="C124" s="29">
        <v>0</v>
      </c>
      <c r="D124" s="30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120</v>
      </c>
      <c r="L124" s="29">
        <v>0</v>
      </c>
      <c r="M124" s="29">
        <v>0</v>
      </c>
      <c r="N124" s="29">
        <v>0</v>
      </c>
      <c r="O124" s="30">
        <v>0</v>
      </c>
      <c r="P124" s="37"/>
      <c r="Q124" s="5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s="27" customFormat="1">
      <c r="A125" s="49" t="s">
        <v>91</v>
      </c>
      <c r="B125" s="24"/>
      <c r="C125" s="25">
        <v>1174.5</v>
      </c>
      <c r="D125" s="26">
        <f t="shared" ref="D125" si="38">IF(AND(D127="",D126=""),"",C125+D127-D126)</f>
        <v>13.5</v>
      </c>
      <c r="E125" s="25">
        <f t="shared" ref="E125:O125" si="39">IF(AND(E127="",E126=""),"",D125+E127-E126)</f>
        <v>13.5</v>
      </c>
      <c r="F125" s="25">
        <f t="shared" si="39"/>
        <v>13.5</v>
      </c>
      <c r="G125" s="25">
        <f t="shared" si="39"/>
        <v>13.5</v>
      </c>
      <c r="H125" s="25">
        <f t="shared" si="39"/>
        <v>13.5</v>
      </c>
      <c r="I125" s="25">
        <f t="shared" si="39"/>
        <v>13.5</v>
      </c>
      <c r="J125" s="25">
        <f t="shared" si="39"/>
        <v>63.5</v>
      </c>
      <c r="K125" s="25">
        <f t="shared" si="39"/>
        <v>63.5</v>
      </c>
      <c r="L125" s="25">
        <f t="shared" si="39"/>
        <v>63.5</v>
      </c>
      <c r="M125" s="25">
        <f t="shared" si="39"/>
        <v>63.5</v>
      </c>
      <c r="N125" s="25">
        <f t="shared" si="39"/>
        <v>10590.56</v>
      </c>
      <c r="O125" s="26">
        <f t="shared" si="39"/>
        <v>10590.56</v>
      </c>
      <c r="P125" s="34"/>
      <c r="Q125" s="60"/>
      <c r="R125" s="3"/>
      <c r="S125" s="3"/>
      <c r="T125" s="3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s="27" customFormat="1">
      <c r="A126" s="48" t="s">
        <v>77</v>
      </c>
      <c r="C126" s="29">
        <v>0</v>
      </c>
      <c r="D126" s="30">
        <v>1161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30">
        <v>0</v>
      </c>
      <c r="P126" s="37"/>
      <c r="Q126" s="5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s="24" customFormat="1">
      <c r="A127" s="48" t="s">
        <v>78</v>
      </c>
      <c r="B127" s="27"/>
      <c r="C127" s="29">
        <v>0</v>
      </c>
      <c r="D127" s="30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50</v>
      </c>
      <c r="K127" s="29">
        <v>0</v>
      </c>
      <c r="L127" s="29">
        <v>0</v>
      </c>
      <c r="M127" s="29">
        <v>0</v>
      </c>
      <c r="N127" s="29">
        <v>10527.06</v>
      </c>
      <c r="O127" s="30">
        <v>0</v>
      </c>
      <c r="P127" s="37"/>
      <c r="Q127" s="59"/>
      <c r="R127" s="4"/>
      <c r="S127" s="4"/>
      <c r="T127" s="4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27" customFormat="1">
      <c r="A128" s="49" t="s">
        <v>92</v>
      </c>
      <c r="B128" s="24"/>
      <c r="C128" s="25">
        <v>706</v>
      </c>
      <c r="D128" s="26">
        <f t="shared" ref="D128" si="40">IF(AND(D130="",D129=""),"",C128+D130-D129)</f>
        <v>706</v>
      </c>
      <c r="E128" s="25">
        <f t="shared" ref="E128:O128" si="41">IF(AND(E130="",E129=""),"",D128+E130-E129)</f>
        <v>706</v>
      </c>
      <c r="F128" s="25">
        <f t="shared" si="41"/>
        <v>706</v>
      </c>
      <c r="G128" s="25">
        <f t="shared" si="41"/>
        <v>706</v>
      </c>
      <c r="H128" s="25">
        <f t="shared" si="41"/>
        <v>706</v>
      </c>
      <c r="I128" s="25">
        <f t="shared" si="41"/>
        <v>706</v>
      </c>
      <c r="J128" s="25">
        <f t="shared" si="41"/>
        <v>706</v>
      </c>
      <c r="K128" s="25">
        <f t="shared" si="41"/>
        <v>1006</v>
      </c>
      <c r="L128" s="25">
        <f t="shared" si="41"/>
        <v>1006</v>
      </c>
      <c r="M128" s="25">
        <f t="shared" si="41"/>
        <v>1006</v>
      </c>
      <c r="N128" s="25">
        <f t="shared" si="41"/>
        <v>1006</v>
      </c>
      <c r="O128" s="26">
        <f t="shared" si="41"/>
        <v>1006</v>
      </c>
      <c r="Q128" s="58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s="27" customFormat="1">
      <c r="A129" s="48" t="s">
        <v>77</v>
      </c>
      <c r="C129" s="29">
        <v>0</v>
      </c>
      <c r="D129" s="30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30">
        <v>0</v>
      </c>
      <c r="Q129" s="58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s="24" customFormat="1">
      <c r="A130" s="48" t="s">
        <v>78</v>
      </c>
      <c r="B130" s="27"/>
      <c r="C130" s="29">
        <v>0</v>
      </c>
      <c r="D130" s="30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300</v>
      </c>
      <c r="L130" s="29">
        <v>0</v>
      </c>
      <c r="M130" s="29">
        <v>0</v>
      </c>
      <c r="N130" s="29">
        <v>0</v>
      </c>
      <c r="O130" s="30">
        <v>0</v>
      </c>
      <c r="P130" s="27"/>
      <c r="Q130" s="58"/>
      <c r="R130" s="4"/>
      <c r="S130" s="4"/>
      <c r="T130" s="4"/>
      <c r="U130" s="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24" customFormat="1">
      <c r="A131" s="49" t="s">
        <v>115</v>
      </c>
      <c r="C131" s="25">
        <v>0</v>
      </c>
      <c r="D131" s="25">
        <f t="shared" ref="D131" si="42">IF(AND(D133="",D132=""),"",C131+D133-D132)</f>
        <v>52</v>
      </c>
      <c r="E131" s="25">
        <f t="shared" ref="E131" si="43">IF(AND(E133="",E132=""),"",D131+E133-E132)</f>
        <v>89</v>
      </c>
      <c r="F131" s="25">
        <f>IF(AND(F133="",F132=""),"",E131+F133-F132)</f>
        <v>89</v>
      </c>
      <c r="G131" s="25">
        <f t="shared" ref="G131" si="44">IF(AND(G133="",G132=""),"",F131+G133-G132)</f>
        <v>89</v>
      </c>
      <c r="H131" s="25">
        <f t="shared" ref="H131" si="45">IF(AND(H133="",H132=""),"",G131+H133-H132)</f>
        <v>89</v>
      </c>
      <c r="I131" s="25">
        <f t="shared" ref="I131" si="46">IF(AND(I133="",I132=""),"",H131+I133-I132)</f>
        <v>89</v>
      </c>
      <c r="J131" s="25">
        <f t="shared" ref="J131" si="47">IF(AND(J133="",J132=""),"",I131+J133-J132)</f>
        <v>136</v>
      </c>
      <c r="K131" s="25">
        <f t="shared" ref="K131" si="48">IF(AND(K133="",K132=""),"",J131+K133-K132)</f>
        <v>148.25</v>
      </c>
      <c r="L131" s="25">
        <f t="shared" ref="L131" si="49">IF(AND(L133="",L132=""),"",K131+L133-L132)</f>
        <v>148.25</v>
      </c>
      <c r="M131" s="25">
        <f t="shared" ref="M131" si="50">IF(AND(M133="",M132=""),"",L131+M133-M132)</f>
        <v>182.3</v>
      </c>
      <c r="N131" s="25">
        <f t="shared" ref="N131" si="51">IF(AND(N133="",N132=""),"",M131+N133-N132)</f>
        <v>197.3</v>
      </c>
      <c r="O131" s="25">
        <f t="shared" ref="O131" si="52">IF(AND(O133="",O132=""),"",N131+O133-O132)</f>
        <v>205.3</v>
      </c>
      <c r="Q131" s="57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24" customFormat="1">
      <c r="A132" s="48" t="s">
        <v>77</v>
      </c>
      <c r="B132" s="27"/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30">
        <v>0</v>
      </c>
      <c r="P132" s="27"/>
      <c r="Q132" s="58"/>
      <c r="R132" s="4"/>
      <c r="S132" s="4"/>
      <c r="T132" s="4"/>
      <c r="U132" s="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24" customFormat="1">
      <c r="A133" s="48" t="s">
        <v>78</v>
      </c>
      <c r="B133" s="27"/>
      <c r="C133" s="29">
        <v>0</v>
      </c>
      <c r="D133" s="29">
        <v>52</v>
      </c>
      <c r="E133" s="29">
        <v>37</v>
      </c>
      <c r="F133" s="29">
        <v>0</v>
      </c>
      <c r="G133" s="29">
        <v>0</v>
      </c>
      <c r="H133" s="29">
        <v>0</v>
      </c>
      <c r="I133" s="29">
        <v>0</v>
      </c>
      <c r="J133" s="29">
        <v>47</v>
      </c>
      <c r="K133" s="29">
        <v>12.25</v>
      </c>
      <c r="L133" s="29">
        <v>0</v>
      </c>
      <c r="M133" s="29">
        <v>34.049999999999997</v>
      </c>
      <c r="N133" s="29">
        <v>15</v>
      </c>
      <c r="O133" s="30">
        <v>8</v>
      </c>
      <c r="P133" s="27"/>
      <c r="Q133" s="58"/>
      <c r="R133" s="4"/>
      <c r="S133" s="4"/>
      <c r="T133" s="4"/>
      <c r="U133" s="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27" customFormat="1">
      <c r="A134" s="49" t="s">
        <v>93</v>
      </c>
      <c r="B134" s="24"/>
      <c r="C134" s="25">
        <v>8118</v>
      </c>
      <c r="D134" s="25">
        <f>IF(OR(D104="",D107="",D110="",D113="",D116="",D119="",D122="",D125="",D128="",D131=""),"",D104+D107+D110+D113+D116+D119+D122+D125+D128+D131)</f>
        <v>6957.3600000000006</v>
      </c>
      <c r="E134" s="25">
        <f>IF(OR(E104="",E107="",E110="",E113="",E116="",E119="",E122="",E125="",E128="",E131=""),"",E104+E107+E110+E113+E116+E119+E122+E125+E128+E131)</f>
        <v>6994.3600000000006</v>
      </c>
      <c r="F134" s="25">
        <f t="shared" ref="F134:O134" si="53">IF(OR(F104="",F107="",F110="",F113="",F116="",F119="",F122="",F125="",F128="",F131=""),"",F104+F107+F110+F113+F116+F119+F122+F125+F128+F131)</f>
        <v>7109.3600000000006</v>
      </c>
      <c r="G134" s="25">
        <f t="shared" si="53"/>
        <v>7109.3600000000006</v>
      </c>
      <c r="H134" s="25">
        <f t="shared" si="53"/>
        <v>7109.3600000000006</v>
      </c>
      <c r="I134" s="25">
        <f t="shared" si="53"/>
        <v>7109.3600000000006</v>
      </c>
      <c r="J134" s="25">
        <f t="shared" si="53"/>
        <v>7206.3600000000006</v>
      </c>
      <c r="K134" s="25">
        <f t="shared" si="53"/>
        <v>7638.6100000000006</v>
      </c>
      <c r="L134" s="25">
        <f t="shared" si="53"/>
        <v>7638.6100000000006</v>
      </c>
      <c r="M134" s="25">
        <f t="shared" si="53"/>
        <v>7611.3200000000006</v>
      </c>
      <c r="N134" s="25">
        <f t="shared" si="53"/>
        <v>18106.169999999998</v>
      </c>
      <c r="O134" s="25">
        <f t="shared" si="53"/>
        <v>18114.169999999998</v>
      </c>
      <c r="Q134" s="58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s="27" customFormat="1">
      <c r="A135" s="49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6"/>
      <c r="P135" s="29"/>
      <c r="Q135" s="56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s="27" customFormat="1">
      <c r="A136" s="49" t="s">
        <v>94</v>
      </c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6"/>
      <c r="P136" s="25"/>
      <c r="Q136" s="56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s="27" customFormat="1">
      <c r="A137" s="48"/>
      <c r="C137" s="25" t="s">
        <v>11</v>
      </c>
      <c r="D137" s="25" t="s">
        <v>0</v>
      </c>
      <c r="E137" s="25" t="s">
        <v>1</v>
      </c>
      <c r="F137" s="25" t="s">
        <v>2</v>
      </c>
      <c r="G137" s="25" t="s">
        <v>3</v>
      </c>
      <c r="H137" s="25" t="s">
        <v>4</v>
      </c>
      <c r="I137" s="25" t="s">
        <v>5</v>
      </c>
      <c r="J137" s="25" t="s">
        <v>6</v>
      </c>
      <c r="K137" s="25" t="s">
        <v>7</v>
      </c>
      <c r="L137" s="25" t="s">
        <v>8</v>
      </c>
      <c r="M137" s="25" t="s">
        <v>9</v>
      </c>
      <c r="N137" s="25" t="s">
        <v>10</v>
      </c>
      <c r="O137" s="25" t="s">
        <v>11</v>
      </c>
      <c r="P137" s="29"/>
      <c r="Q137" s="56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s="27" customFormat="1">
      <c r="A138" s="49" t="s">
        <v>95</v>
      </c>
      <c r="C138" s="25">
        <v>525</v>
      </c>
      <c r="D138" s="26">
        <f t="shared" ref="D138" si="54">IF(AND(D140="",D140=""),"",C138+D140-D139)</f>
        <v>525</v>
      </c>
      <c r="E138" s="25">
        <f t="shared" ref="E138:O138" si="55">IF(AND(E140="",E140=""),"",D138+E140-E139)</f>
        <v>25</v>
      </c>
      <c r="F138" s="25">
        <f t="shared" si="55"/>
        <v>495</v>
      </c>
      <c r="G138" s="25">
        <f t="shared" si="55"/>
        <v>495</v>
      </c>
      <c r="H138" s="25">
        <f t="shared" si="55"/>
        <v>495</v>
      </c>
      <c r="I138" s="25">
        <f t="shared" si="55"/>
        <v>495</v>
      </c>
      <c r="J138" s="25">
        <f t="shared" si="55"/>
        <v>495</v>
      </c>
      <c r="K138" s="25">
        <f t="shared" si="55"/>
        <v>495.00000000000006</v>
      </c>
      <c r="L138" s="25">
        <f t="shared" si="55"/>
        <v>495.00000000000006</v>
      </c>
      <c r="M138" s="25">
        <f t="shared" si="55"/>
        <v>495.00000000000006</v>
      </c>
      <c r="N138" s="25">
        <f t="shared" si="55"/>
        <v>495.00000000000006</v>
      </c>
      <c r="O138" s="26">
        <f t="shared" si="55"/>
        <v>495.00000000000011</v>
      </c>
      <c r="Q138" s="58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s="27" customFormat="1">
      <c r="A139" s="48" t="s">
        <v>77</v>
      </c>
      <c r="C139" s="29">
        <v>0</v>
      </c>
      <c r="D139" s="30">
        <v>0</v>
      </c>
      <c r="E139" s="29">
        <v>500</v>
      </c>
      <c r="F139" s="29">
        <v>0</v>
      </c>
      <c r="G139" s="29">
        <v>0</v>
      </c>
      <c r="H139" s="29">
        <v>0</v>
      </c>
      <c r="I139" s="29">
        <v>1294</v>
      </c>
      <c r="J139" s="29">
        <v>0</v>
      </c>
      <c r="K139" s="29">
        <v>367.67</v>
      </c>
      <c r="L139" s="29">
        <v>0</v>
      </c>
      <c r="M139" s="29">
        <v>0</v>
      </c>
      <c r="N139" s="29">
        <v>0</v>
      </c>
      <c r="O139" s="30">
        <v>912.1</v>
      </c>
      <c r="Q139" s="58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s="27" customFormat="1">
      <c r="A140" s="48" t="s">
        <v>78</v>
      </c>
      <c r="C140" s="29">
        <v>0</v>
      </c>
      <c r="D140" s="30">
        <v>0</v>
      </c>
      <c r="E140" s="29">
        <v>0</v>
      </c>
      <c r="F140" s="29">
        <v>470</v>
      </c>
      <c r="G140" s="29">
        <v>0</v>
      </c>
      <c r="H140" s="29">
        <v>0</v>
      </c>
      <c r="I140" s="29">
        <v>1294</v>
      </c>
      <c r="J140" s="29">
        <v>0</v>
      </c>
      <c r="K140" s="29">
        <v>367.67</v>
      </c>
      <c r="L140" s="29">
        <v>0</v>
      </c>
      <c r="M140" s="29">
        <v>0</v>
      </c>
      <c r="N140" s="29">
        <v>0</v>
      </c>
      <c r="O140" s="30">
        <v>912.1</v>
      </c>
      <c r="Q140" s="58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s="27" customFormat="1">
      <c r="A141" s="49" t="s">
        <v>96</v>
      </c>
      <c r="C141" s="25">
        <v>3820</v>
      </c>
      <c r="D141" s="26">
        <f t="shared" ref="D141" si="56">IF(AND(D143="",D143=""),"",C141+D143-D142)</f>
        <v>3320</v>
      </c>
      <c r="E141" s="25">
        <f t="shared" ref="E141:O141" si="57">IF(AND(E143="",E143=""),"",D141+E143-E142)</f>
        <v>3320</v>
      </c>
      <c r="F141" s="25">
        <f t="shared" si="57"/>
        <v>3320</v>
      </c>
      <c r="G141" s="25">
        <f t="shared" si="57"/>
        <v>3020.2</v>
      </c>
      <c r="H141" s="25">
        <f t="shared" si="57"/>
        <v>3020.2</v>
      </c>
      <c r="I141" s="25">
        <f t="shared" si="57"/>
        <v>3220.2</v>
      </c>
      <c r="J141" s="25">
        <f t="shared" si="57"/>
        <v>3220.2</v>
      </c>
      <c r="K141" s="25">
        <f t="shared" si="57"/>
        <v>4220.2</v>
      </c>
      <c r="L141" s="25">
        <f t="shared" si="57"/>
        <v>4220.2</v>
      </c>
      <c r="M141" s="25">
        <f t="shared" si="57"/>
        <v>4220.2</v>
      </c>
      <c r="N141" s="25">
        <f t="shared" si="57"/>
        <v>4220.2</v>
      </c>
      <c r="O141" s="26">
        <f t="shared" si="57"/>
        <v>4172.7</v>
      </c>
      <c r="Q141" s="58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s="27" customFormat="1">
      <c r="A142" s="48" t="s">
        <v>77</v>
      </c>
      <c r="C142" s="29">
        <v>0</v>
      </c>
      <c r="D142" s="30">
        <v>500</v>
      </c>
      <c r="E142" s="29">
        <v>0</v>
      </c>
      <c r="F142" s="29">
        <v>0</v>
      </c>
      <c r="G142" s="29">
        <v>299.8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30">
        <v>47.5</v>
      </c>
      <c r="Q142" s="58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s="27" customFormat="1">
      <c r="A143" s="48" t="s">
        <v>78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200</v>
      </c>
      <c r="J143" s="29">
        <v>0</v>
      </c>
      <c r="K143" s="29">
        <v>1000</v>
      </c>
      <c r="L143" s="29">
        <v>0</v>
      </c>
      <c r="M143" s="29">
        <v>0</v>
      </c>
      <c r="N143" s="29">
        <v>0</v>
      </c>
      <c r="O143" s="30">
        <v>0</v>
      </c>
      <c r="Q143" s="58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s="27" customFormat="1">
      <c r="A144" s="49" t="s">
        <v>97</v>
      </c>
      <c r="C144" s="25">
        <v>2827</v>
      </c>
      <c r="D144" s="26">
        <f t="shared" ref="D144" si="58">IF(AND(D146="",D146=""),"",C144+D146-D145)</f>
        <v>2827</v>
      </c>
      <c r="E144" s="25">
        <f t="shared" ref="E144:L144" si="59">IF(AND(E146="",E146=""),"",D144+E146-E145)</f>
        <v>2827</v>
      </c>
      <c r="F144" s="25">
        <f t="shared" si="59"/>
        <v>2827</v>
      </c>
      <c r="G144" s="25">
        <f t="shared" si="59"/>
        <v>2827</v>
      </c>
      <c r="H144" s="25">
        <f t="shared" si="59"/>
        <v>2827</v>
      </c>
      <c r="I144" s="25">
        <f t="shared" si="59"/>
        <v>2827</v>
      </c>
      <c r="J144" s="25">
        <f t="shared" si="59"/>
        <v>2877</v>
      </c>
      <c r="K144" s="25">
        <f t="shared" si="59"/>
        <v>3264</v>
      </c>
      <c r="L144" s="25">
        <f t="shared" si="59"/>
        <v>3264</v>
      </c>
      <c r="M144" s="25">
        <f t="shared" ref="M144:O144" si="60">IF(AND(M146="",M146=""),"",L144+M146-M145)</f>
        <v>3264</v>
      </c>
      <c r="N144" s="25">
        <f t="shared" si="60"/>
        <v>3264</v>
      </c>
      <c r="O144" s="26">
        <f t="shared" si="60"/>
        <v>3264</v>
      </c>
      <c r="Q144" s="58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s="27" customFormat="1">
      <c r="A145" s="48" t="s">
        <v>77</v>
      </c>
      <c r="C145" s="29">
        <v>0</v>
      </c>
      <c r="D145" s="30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30">
        <v>0</v>
      </c>
      <c r="Q145" s="58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s="27" customFormat="1">
      <c r="A146" s="48" t="s">
        <v>78</v>
      </c>
      <c r="C146" s="29">
        <v>0</v>
      </c>
      <c r="D146" s="30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50</v>
      </c>
      <c r="K146" s="29">
        <v>387</v>
      </c>
      <c r="L146" s="29">
        <v>0</v>
      </c>
      <c r="M146" s="29">
        <v>0</v>
      </c>
      <c r="N146" s="29">
        <v>0</v>
      </c>
      <c r="O146" s="30">
        <v>0</v>
      </c>
      <c r="Q146" s="58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s="27" customFormat="1">
      <c r="A147" s="49" t="s">
        <v>98</v>
      </c>
      <c r="C147" s="25">
        <v>1015</v>
      </c>
      <c r="D147" s="26">
        <f t="shared" ref="D147" si="61">IF(AND(D149="",D149=""),"",C147+D149-D148)</f>
        <v>1015</v>
      </c>
      <c r="E147" s="25">
        <f t="shared" ref="E147:O147" si="62">IF(AND(E149="",E149=""),"",D147+E149-E148)</f>
        <v>1015</v>
      </c>
      <c r="F147" s="25">
        <f t="shared" si="62"/>
        <v>1015</v>
      </c>
      <c r="G147" s="25">
        <f t="shared" si="62"/>
        <v>1015</v>
      </c>
      <c r="H147" s="25">
        <f t="shared" si="62"/>
        <v>1015</v>
      </c>
      <c r="I147" s="25">
        <f t="shared" si="62"/>
        <v>1015</v>
      </c>
      <c r="J147" s="25">
        <f t="shared" si="62"/>
        <v>1015</v>
      </c>
      <c r="K147" s="25">
        <f t="shared" si="62"/>
        <v>1015</v>
      </c>
      <c r="L147" s="25">
        <f t="shared" si="62"/>
        <v>1015</v>
      </c>
      <c r="M147" s="25">
        <f t="shared" si="62"/>
        <v>1015</v>
      </c>
      <c r="N147" s="25">
        <f t="shared" si="62"/>
        <v>1015</v>
      </c>
      <c r="O147" s="26">
        <f t="shared" si="62"/>
        <v>1015</v>
      </c>
      <c r="Q147" s="58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s="27" customFormat="1">
      <c r="A148" s="48" t="s">
        <v>77</v>
      </c>
      <c r="C148" s="29">
        <v>0</v>
      </c>
      <c r="D148" s="30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30">
        <v>0</v>
      </c>
      <c r="Q148" s="58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s="27" customFormat="1">
      <c r="A149" s="48" t="s">
        <v>78</v>
      </c>
      <c r="C149" s="29">
        <v>0</v>
      </c>
      <c r="D149" s="30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30">
        <v>0</v>
      </c>
      <c r="Q149" s="58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s="27" customFormat="1">
      <c r="A150" s="49" t="s">
        <v>99</v>
      </c>
      <c r="B150" s="24"/>
      <c r="C150" s="25">
        <v>660</v>
      </c>
      <c r="D150" s="26">
        <f t="shared" ref="D150" si="63">IF(AND(D152="",D152=""),"",C150+D152-D151)</f>
        <v>660</v>
      </c>
      <c r="E150" s="25">
        <f t="shared" ref="E150:O150" si="64">IF(AND(E152="",E152=""),"",D150+E152-E151)</f>
        <v>660</v>
      </c>
      <c r="F150" s="25">
        <f t="shared" si="64"/>
        <v>660</v>
      </c>
      <c r="G150" s="25">
        <f t="shared" si="64"/>
        <v>660</v>
      </c>
      <c r="H150" s="25">
        <f t="shared" si="64"/>
        <v>780</v>
      </c>
      <c r="I150" s="25">
        <f t="shared" si="64"/>
        <v>780</v>
      </c>
      <c r="J150" s="25">
        <f t="shared" si="64"/>
        <v>780</v>
      </c>
      <c r="K150" s="25">
        <f t="shared" si="64"/>
        <v>780</v>
      </c>
      <c r="L150" s="25">
        <f t="shared" si="64"/>
        <v>780</v>
      </c>
      <c r="M150" s="25">
        <f t="shared" si="64"/>
        <v>780</v>
      </c>
      <c r="N150" s="25">
        <f t="shared" si="64"/>
        <v>780</v>
      </c>
      <c r="O150" s="26">
        <f t="shared" si="64"/>
        <v>780</v>
      </c>
      <c r="P150" s="24"/>
      <c r="Q150" s="57"/>
      <c r="R150" s="3"/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s="27" customFormat="1">
      <c r="A151" s="52" t="s">
        <v>84</v>
      </c>
      <c r="C151" s="29">
        <v>0</v>
      </c>
      <c r="D151" s="30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30">
        <v>0</v>
      </c>
      <c r="Q151" s="58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s="27" customFormat="1">
      <c r="A152" s="52" t="s">
        <v>85</v>
      </c>
      <c r="C152" s="29">
        <v>0</v>
      </c>
      <c r="D152" s="30">
        <v>0</v>
      </c>
      <c r="E152" s="29">
        <v>0</v>
      </c>
      <c r="F152" s="29">
        <v>0</v>
      </c>
      <c r="G152" s="29">
        <v>0</v>
      </c>
      <c r="H152" s="29">
        <v>120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30">
        <v>0</v>
      </c>
      <c r="Q152" s="58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s="27" customFormat="1">
      <c r="A153" s="49" t="s">
        <v>100</v>
      </c>
      <c r="B153" s="24"/>
      <c r="C153" s="25">
        <v>305</v>
      </c>
      <c r="D153" s="26">
        <f t="shared" ref="D153" si="65">IF(AND(D155="",D155=""),"",C153+D155-D154)</f>
        <v>305</v>
      </c>
      <c r="E153" s="25">
        <f t="shared" ref="E153:O153" si="66">IF(AND(E155="",E155=""),"",D153+E155-E154)</f>
        <v>305</v>
      </c>
      <c r="F153" s="25">
        <f t="shared" si="66"/>
        <v>305</v>
      </c>
      <c r="G153" s="25">
        <f t="shared" si="66"/>
        <v>305</v>
      </c>
      <c r="H153" s="25">
        <f t="shared" si="66"/>
        <v>305</v>
      </c>
      <c r="I153" s="25">
        <f t="shared" si="66"/>
        <v>305</v>
      </c>
      <c r="J153" s="25">
        <f t="shared" si="66"/>
        <v>305</v>
      </c>
      <c r="K153" s="25">
        <f t="shared" si="66"/>
        <v>305</v>
      </c>
      <c r="L153" s="25">
        <f t="shared" si="66"/>
        <v>305</v>
      </c>
      <c r="M153" s="25">
        <f t="shared" si="66"/>
        <v>305</v>
      </c>
      <c r="N153" s="25">
        <f t="shared" si="66"/>
        <v>305</v>
      </c>
      <c r="O153" s="26">
        <f t="shared" si="66"/>
        <v>305</v>
      </c>
      <c r="P153" s="24"/>
      <c r="Q153" s="57"/>
      <c r="R153" s="3"/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s="27" customFormat="1">
      <c r="A154" s="52" t="s">
        <v>84</v>
      </c>
      <c r="C154" s="29">
        <v>0</v>
      </c>
      <c r="D154" s="30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30">
        <v>0</v>
      </c>
      <c r="Q154" s="58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s="24" customFormat="1">
      <c r="A155" s="52" t="s">
        <v>85</v>
      </c>
      <c r="B155" s="27"/>
      <c r="C155" s="29">
        <v>0</v>
      </c>
      <c r="D155" s="30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30">
        <v>0</v>
      </c>
      <c r="P155" s="27"/>
      <c r="Q155" s="58"/>
      <c r="R155" s="4"/>
      <c r="S155" s="4"/>
      <c r="T155" s="4"/>
      <c r="U155" s="4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s="27" customFormat="1">
      <c r="A156" s="49" t="s">
        <v>101</v>
      </c>
      <c r="B156" s="24"/>
      <c r="C156" s="25">
        <v>313</v>
      </c>
      <c r="D156" s="26">
        <f t="shared" ref="D156" si="67">IF(AND(D158="",D158=""),"",C156+D158-D157)</f>
        <v>313</v>
      </c>
      <c r="E156" s="25">
        <f t="shared" ref="E156:O156" si="68">IF(AND(E158="",E158=""),"",D156+E158-E157)</f>
        <v>313</v>
      </c>
      <c r="F156" s="25">
        <f t="shared" si="68"/>
        <v>313</v>
      </c>
      <c r="G156" s="25">
        <f t="shared" si="68"/>
        <v>313</v>
      </c>
      <c r="H156" s="25">
        <f t="shared" si="68"/>
        <v>313</v>
      </c>
      <c r="I156" s="25">
        <f t="shared" si="68"/>
        <v>313</v>
      </c>
      <c r="J156" s="25">
        <f t="shared" si="68"/>
        <v>313</v>
      </c>
      <c r="K156" s="25">
        <f t="shared" si="68"/>
        <v>313</v>
      </c>
      <c r="L156" s="25">
        <f t="shared" si="68"/>
        <v>313</v>
      </c>
      <c r="M156" s="25">
        <f t="shared" si="68"/>
        <v>313</v>
      </c>
      <c r="N156" s="25">
        <f t="shared" si="68"/>
        <v>313</v>
      </c>
      <c r="O156" s="26">
        <f t="shared" si="68"/>
        <v>313</v>
      </c>
      <c r="P156" s="24"/>
      <c r="Q156" s="57"/>
      <c r="R156" s="3"/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s="27" customFormat="1">
      <c r="A157" s="52" t="s">
        <v>84</v>
      </c>
      <c r="C157" s="29">
        <v>0</v>
      </c>
      <c r="D157" s="30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30">
        <v>0</v>
      </c>
      <c r="Q157" s="58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s="24" customFormat="1">
      <c r="A158" s="52" t="s">
        <v>85</v>
      </c>
      <c r="B158" s="27"/>
      <c r="C158" s="29">
        <v>0</v>
      </c>
      <c r="D158" s="30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30">
        <v>0</v>
      </c>
      <c r="P158" s="27"/>
      <c r="Q158" s="58"/>
      <c r="R158" s="4"/>
      <c r="S158" s="4"/>
      <c r="T158" s="4"/>
      <c r="U158" s="4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s="27" customFormat="1">
      <c r="A159" s="49" t="s">
        <v>112</v>
      </c>
      <c r="B159" s="24"/>
      <c r="C159" s="25">
        <v>125</v>
      </c>
      <c r="D159" s="26">
        <f t="shared" ref="D159" si="69">IF(AND(D161="",D161=""),"",C159+D161-D160)</f>
        <v>125</v>
      </c>
      <c r="E159" s="26">
        <f t="shared" ref="E159" si="70">IF(AND(E161="",E161=""),"",D159+E161-E160)</f>
        <v>125</v>
      </c>
      <c r="F159" s="26">
        <f t="shared" ref="F159" si="71">IF(AND(F161="",F161=""),"",E159+F161-F160)</f>
        <v>125</v>
      </c>
      <c r="G159" s="26">
        <f t="shared" ref="G159" si="72">IF(AND(G161="",G161=""),"",F159+G161-G160)</f>
        <v>125</v>
      </c>
      <c r="H159" s="26">
        <f t="shared" ref="H159" si="73">IF(AND(H161="",H161=""),"",G159+H161-H160)</f>
        <v>125</v>
      </c>
      <c r="I159" s="26">
        <f t="shared" ref="I159" si="74">IF(AND(I161="",I161=""),"",H159+I161-I160)</f>
        <v>125</v>
      </c>
      <c r="J159" s="26">
        <f t="shared" ref="J159" si="75">IF(AND(J161="",J161=""),"",I159+J161-J160)</f>
        <v>125</v>
      </c>
      <c r="K159" s="26">
        <f t="shared" ref="K159" si="76">IF(AND(K161="",K161=""),"",J159+K161-K160)</f>
        <v>125</v>
      </c>
      <c r="L159" s="26">
        <f t="shared" ref="L159" si="77">IF(AND(L161="",L161=""),"",K159+L161-L160)</f>
        <v>125</v>
      </c>
      <c r="M159" s="26">
        <f t="shared" ref="M159" si="78">IF(AND(M161="",M161=""),"",L159+M161-M160)</f>
        <v>125</v>
      </c>
      <c r="N159" s="26">
        <f t="shared" ref="N159" si="79">IF(AND(N161="",N161=""),"",M159+N161-N160)</f>
        <v>125</v>
      </c>
      <c r="O159" s="26">
        <f t="shared" ref="O159" si="80">IF(AND(O161="",O161=""),"",N159+O161-O160)</f>
        <v>125</v>
      </c>
      <c r="P159" s="24"/>
      <c r="Q159" s="57"/>
      <c r="R159" s="3"/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s="27" customFormat="1">
      <c r="A160" s="52" t="s">
        <v>84</v>
      </c>
      <c r="C160" s="29">
        <v>0</v>
      </c>
      <c r="D160" s="30">
        <v>0</v>
      </c>
      <c r="E160" s="29">
        <v>0</v>
      </c>
      <c r="F160" s="29">
        <v>0</v>
      </c>
      <c r="G160" s="29">
        <v>0</v>
      </c>
      <c r="H160" s="29">
        <v>790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30">
        <v>0</v>
      </c>
      <c r="Q160" s="58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s="24" customFormat="1">
      <c r="A161" s="52" t="s">
        <v>85</v>
      </c>
      <c r="B161" s="27"/>
      <c r="C161" s="29">
        <v>0</v>
      </c>
      <c r="D161" s="30">
        <v>0</v>
      </c>
      <c r="E161" s="29">
        <v>0</v>
      </c>
      <c r="F161" s="29">
        <v>0</v>
      </c>
      <c r="G161" s="29">
        <v>0</v>
      </c>
      <c r="H161" s="29">
        <v>790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30">
        <v>0</v>
      </c>
      <c r="P161" s="27"/>
      <c r="Q161" s="58"/>
      <c r="R161" s="4"/>
      <c r="S161" s="4"/>
      <c r="T161" s="4"/>
      <c r="U161" s="4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s="27" customFormat="1" ht="14.4" thickBot="1">
      <c r="A162" s="53" t="s">
        <v>12</v>
      </c>
      <c r="B162" s="54"/>
      <c r="C162" s="25">
        <f>IF(OR(C138="",C141="",C144="",C147="",C150="",C153="",C156=""),"",C138+C141+C144+C147+C150+C153+C156+C159)</f>
        <v>9590</v>
      </c>
      <c r="D162" s="26">
        <f t="shared" ref="D162" si="81">IF(OR(D138="",D141="",D144="",D147="",D150="",D153="",D156=""),"",D138+D141+D144+D147+D150+D153+D156+D159)</f>
        <v>9090</v>
      </c>
      <c r="E162" s="25">
        <f t="shared" ref="E162:O162" si="82">IF(OR(E138="",E141="",E144="",E147="",E150="",E153="",E156=""),"",E138+E141+E144+E147+E150+E153+E156+E159)</f>
        <v>8590</v>
      </c>
      <c r="F162" s="25">
        <f t="shared" si="82"/>
        <v>9060</v>
      </c>
      <c r="G162" s="25">
        <f t="shared" si="82"/>
        <v>8760.2000000000007</v>
      </c>
      <c r="H162" s="25">
        <f t="shared" si="82"/>
        <v>8880.2000000000007</v>
      </c>
      <c r="I162" s="25">
        <f t="shared" si="82"/>
        <v>9080.2000000000007</v>
      </c>
      <c r="J162" s="25">
        <f t="shared" si="82"/>
        <v>9130.2000000000007</v>
      </c>
      <c r="K162" s="25">
        <f t="shared" si="82"/>
        <v>10517.2</v>
      </c>
      <c r="L162" s="25">
        <f t="shared" si="82"/>
        <v>10517.2</v>
      </c>
      <c r="M162" s="25">
        <f t="shared" si="82"/>
        <v>10517.2</v>
      </c>
      <c r="N162" s="25">
        <f t="shared" si="82"/>
        <v>10517.2</v>
      </c>
      <c r="O162" s="25">
        <f t="shared" si="82"/>
        <v>10469.700000000001</v>
      </c>
      <c r="Q162" s="58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s="27" customFormat="1">
      <c r="A163" s="38"/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1"/>
      <c r="P163" s="42"/>
      <c r="Q163" s="61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s="24" customFormat="1">
      <c r="A164" s="27"/>
      <c r="B164" s="27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30"/>
      <c r="P164" s="29"/>
      <c r="Q164" s="56"/>
      <c r="R164" s="4"/>
      <c r="S164" s="4"/>
      <c r="T164" s="4"/>
      <c r="U164" s="4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s="27" customFormat="1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30"/>
      <c r="P165" s="29"/>
      <c r="Q165" s="56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s="27" customFormat="1">
      <c r="C166" s="29"/>
      <c r="D166" s="29"/>
      <c r="E166" s="29"/>
      <c r="F166" s="29"/>
      <c r="G166" s="29"/>
      <c r="H166" s="29"/>
      <c r="I166" s="29"/>
      <c r="J166" s="29"/>
      <c r="K166" s="29"/>
      <c r="L166" s="25" t="s">
        <v>89</v>
      </c>
      <c r="M166" s="29"/>
      <c r="N166" s="29"/>
      <c r="O166" s="30"/>
      <c r="P166" s="29"/>
      <c r="Q166" s="56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s="27" customFormat="1">
      <c r="A167" s="24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30"/>
      <c r="P167" s="29"/>
      <c r="Q167" s="56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s="27" customFormat="1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30"/>
      <c r="P168" s="29"/>
      <c r="Q168" s="56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s="27" customFormat="1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30"/>
      <c r="P169" s="29"/>
      <c r="Q169" s="56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s="27" customFormat="1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30"/>
      <c r="P170" s="29"/>
      <c r="Q170" s="56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s="27" customFormat="1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30"/>
      <c r="P171" s="29"/>
      <c r="Q171" s="56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s="27" customFormat="1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30"/>
      <c r="P172" s="29"/>
      <c r="Q172" s="56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pageSetup scale="69" fitToHeight="0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FA6A-412D-4541-90E7-80E446BEF5C9}">
  <sheetPr>
    <pageSetUpPr fitToPage="1"/>
  </sheetPr>
  <dimension ref="A1:AMJ169"/>
  <sheetViews>
    <sheetView topLeftCell="A66" zoomScale="110" zoomScaleNormal="110" workbookViewId="0">
      <selection activeCell="R13" sqref="R13"/>
    </sheetView>
  </sheetViews>
  <sheetFormatPr defaultRowHeight="13.8"/>
  <cols>
    <col min="1" max="1" width="8.796875" style="4" customWidth="1"/>
    <col min="2" max="2" width="12.19921875" style="4" customWidth="1"/>
    <col min="3" max="14" width="9.296875" style="5" customWidth="1"/>
    <col min="15" max="15" width="9.8984375" style="17" customWidth="1"/>
    <col min="16" max="16" width="10.59765625" style="5" customWidth="1"/>
    <col min="17" max="17" width="7.796875" style="13" customWidth="1"/>
    <col min="18" max="18" width="8.796875" style="4" customWidth="1"/>
    <col min="19" max="19" width="8.796875" style="63" customWidth="1"/>
    <col min="20" max="1023" width="8.796875" style="4" customWidth="1"/>
    <col min="1024" max="1024" width="9.5" style="4" customWidth="1"/>
    <col min="1025" max="16384" width="8.796875" style="11"/>
  </cols>
  <sheetData>
    <row r="1" spans="1:19">
      <c r="A1" s="3" t="s">
        <v>107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"/>
      <c r="O1" s="16"/>
      <c r="P1" s="2"/>
      <c r="Q1" s="12"/>
    </row>
    <row r="2" spans="1:19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1" t="s">
        <v>10</v>
      </c>
      <c r="N2" s="2" t="s">
        <v>11</v>
      </c>
      <c r="O2" s="16" t="s">
        <v>12</v>
      </c>
      <c r="P2" s="2" t="s">
        <v>13</v>
      </c>
      <c r="Q2" s="12" t="s">
        <v>14</v>
      </c>
    </row>
    <row r="3" spans="1:19">
      <c r="A3" s="3" t="s">
        <v>15</v>
      </c>
      <c r="M3" s="22"/>
    </row>
    <row r="4" spans="1:19">
      <c r="A4" s="3"/>
      <c r="M4" s="22"/>
    </row>
    <row r="5" spans="1:19">
      <c r="A5" s="4" t="s">
        <v>16</v>
      </c>
      <c r="C5" s="5">
        <f>24378.72</f>
        <v>24378.720000000001</v>
      </c>
      <c r="D5" s="5">
        <f>7092.3+71.61</f>
        <v>7163.91</v>
      </c>
      <c r="E5" s="5">
        <f>32.49+727+3529.3</f>
        <v>4288.79</v>
      </c>
      <c r="F5" s="5">
        <v>2086</v>
      </c>
      <c r="G5" s="5">
        <v>11906.85</v>
      </c>
      <c r="H5" s="5">
        <v>11096.3</v>
      </c>
      <c r="I5" s="5">
        <v>21001.3</v>
      </c>
      <c r="J5" s="5">
        <f>7901+571</f>
        <v>8472</v>
      </c>
      <c r="K5" s="5">
        <v>10137.299999999999</v>
      </c>
      <c r="L5" s="5">
        <v>30653.52</v>
      </c>
      <c r="M5" s="22">
        <v>8180.04</v>
      </c>
      <c r="N5" s="5">
        <v>7035.08</v>
      </c>
      <c r="O5" s="17">
        <f>SUM(C5:N5)</f>
        <v>146399.81</v>
      </c>
      <c r="P5" s="5">
        <v>148061</v>
      </c>
      <c r="Q5" s="13">
        <f>O5/P5</f>
        <v>0.98878036755121201</v>
      </c>
      <c r="S5" s="63">
        <f>(131185/148061)*100</f>
        <v>88.601995123631468</v>
      </c>
    </row>
    <row r="6" spans="1:19">
      <c r="A6" s="4" t="s">
        <v>17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205</v>
      </c>
      <c r="M6" s="22">
        <v>303</v>
      </c>
      <c r="N6" s="5">
        <v>595.85</v>
      </c>
      <c r="O6" s="17">
        <f t="shared" ref="O6:O10" si="0">SUM(C6:N6)</f>
        <v>1103.8499999999999</v>
      </c>
      <c r="P6" s="5">
        <v>3000</v>
      </c>
      <c r="Q6" s="13">
        <f t="shared" ref="Q6:Q11" si="1">O6/P6</f>
        <v>0.36794999999999994</v>
      </c>
    </row>
    <row r="7" spans="1:19">
      <c r="A7" s="4" t="s">
        <v>18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>7872+33.4</f>
        <v>7905.4</v>
      </c>
      <c r="I7" s="5">
        <v>3097.02</v>
      </c>
      <c r="J7" s="5">
        <v>0</v>
      </c>
      <c r="K7" s="5">
        <v>225</v>
      </c>
      <c r="L7" s="5">
        <f>55+3000+48.89</f>
        <v>3103.89</v>
      </c>
      <c r="M7" s="22">
        <v>150</v>
      </c>
      <c r="N7" s="5">
        <f>100+40.45</f>
        <v>140.44999999999999</v>
      </c>
      <c r="O7" s="17">
        <f t="shared" si="0"/>
        <v>14621.76</v>
      </c>
      <c r="P7" s="5">
        <v>10000</v>
      </c>
      <c r="Q7" s="13">
        <f t="shared" si="1"/>
        <v>1.4621759999999999</v>
      </c>
    </row>
    <row r="8" spans="1:19">
      <c r="A8" s="4" t="s">
        <v>108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2">
        <v>0</v>
      </c>
      <c r="O8" s="17">
        <f t="shared" si="0"/>
        <v>0</v>
      </c>
      <c r="P8" s="5">
        <v>0</v>
      </c>
      <c r="Q8" s="13" t="e">
        <f t="shared" si="1"/>
        <v>#DIV/0!</v>
      </c>
    </row>
    <row r="9" spans="1:19">
      <c r="A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164</v>
      </c>
      <c r="I9" s="5">
        <v>0</v>
      </c>
      <c r="J9" s="5">
        <v>250</v>
      </c>
      <c r="K9" s="5">
        <v>0</v>
      </c>
      <c r="L9" s="5">
        <v>0</v>
      </c>
      <c r="M9" s="22">
        <v>0</v>
      </c>
      <c r="O9" s="17">
        <f t="shared" si="0"/>
        <v>414</v>
      </c>
      <c r="P9" s="5">
        <v>0</v>
      </c>
      <c r="Q9" s="13" t="e">
        <f t="shared" si="1"/>
        <v>#DIV/0!</v>
      </c>
    </row>
    <row r="10" spans="1:19">
      <c r="A10" s="4" t="s">
        <v>20</v>
      </c>
      <c r="C10" s="5">
        <v>1437</v>
      </c>
      <c r="D10" s="5">
        <f>2991+10+25</f>
        <v>3026</v>
      </c>
      <c r="E10" s="5">
        <v>210</v>
      </c>
      <c r="F10" s="5">
        <v>130</v>
      </c>
      <c r="G10" s="5">
        <v>0</v>
      </c>
      <c r="H10" s="5">
        <f>135+45</f>
        <v>180</v>
      </c>
      <c r="I10" s="5">
        <v>170</v>
      </c>
      <c r="J10" s="5">
        <f>66.02+400</f>
        <v>466.02</v>
      </c>
      <c r="K10" s="5">
        <v>0</v>
      </c>
      <c r="L10" s="5">
        <v>433.01</v>
      </c>
      <c r="M10" s="22">
        <v>0</v>
      </c>
      <c r="N10" s="5">
        <v>121.12</v>
      </c>
      <c r="O10" s="17">
        <f t="shared" si="0"/>
        <v>6173.1500000000005</v>
      </c>
      <c r="P10" s="5">
        <v>4000</v>
      </c>
      <c r="Q10" s="13">
        <f t="shared" si="1"/>
        <v>1.5432875000000001</v>
      </c>
    </row>
    <row r="11" spans="1:19" s="4" customFormat="1">
      <c r="A11" s="6" t="s">
        <v>21</v>
      </c>
      <c r="C11" s="5">
        <f t="shared" ref="C11:O11" si="2">SUM(C5:C10)</f>
        <v>25815.72</v>
      </c>
      <c r="D11" s="5">
        <f t="shared" si="2"/>
        <v>10189.91</v>
      </c>
      <c r="E11" s="5">
        <f t="shared" si="2"/>
        <v>4498.79</v>
      </c>
      <c r="F11" s="5">
        <f t="shared" si="2"/>
        <v>2216</v>
      </c>
      <c r="G11" s="5">
        <f t="shared" si="2"/>
        <v>11906.85</v>
      </c>
      <c r="H11" s="5">
        <f t="shared" si="2"/>
        <v>19345.699999999997</v>
      </c>
      <c r="I11" s="5">
        <f>SUM(I5:I10)</f>
        <v>24268.32</v>
      </c>
      <c r="J11" s="5">
        <f t="shared" si="2"/>
        <v>9188.02</v>
      </c>
      <c r="K11" s="5">
        <f t="shared" si="2"/>
        <v>10362.299999999999</v>
      </c>
      <c r="L11" s="5">
        <f t="shared" si="2"/>
        <v>34395.420000000006</v>
      </c>
      <c r="M11" s="22">
        <f t="shared" si="2"/>
        <v>8633.0400000000009</v>
      </c>
      <c r="N11" s="5">
        <f t="shared" si="2"/>
        <v>7892.5</v>
      </c>
      <c r="O11" s="16">
        <f t="shared" si="2"/>
        <v>168712.57</v>
      </c>
      <c r="P11" s="2">
        <f>SUM(P5:P10)</f>
        <v>165061</v>
      </c>
      <c r="Q11" s="12">
        <f t="shared" si="1"/>
        <v>1.0221225486335355</v>
      </c>
      <c r="S11" s="63"/>
    </row>
    <row r="12" spans="1:19" s="4" customFormat="1">
      <c r="A12" s="4" t="s">
        <v>106</v>
      </c>
      <c r="C12" s="5"/>
      <c r="D12" s="5"/>
      <c r="E12" s="5"/>
      <c r="F12" s="5"/>
      <c r="G12" s="5"/>
      <c r="H12" s="5"/>
      <c r="I12" s="5"/>
      <c r="J12" s="5">
        <v>2500</v>
      </c>
      <c r="K12" s="5"/>
      <c r="L12" s="5">
        <v>5780</v>
      </c>
      <c r="M12" s="22">
        <v>8300</v>
      </c>
      <c r="N12" s="5">
        <v>5162</v>
      </c>
      <c r="O12" s="16"/>
      <c r="P12" s="2"/>
      <c r="Q12" s="12"/>
      <c r="R12" s="4">
        <f>SUM(J12:N12)</f>
        <v>21742</v>
      </c>
      <c r="S12" s="63"/>
    </row>
    <row r="13" spans="1:19" s="4" customFormat="1">
      <c r="C13" s="5"/>
      <c r="D13" s="5"/>
      <c r="E13" s="5"/>
      <c r="F13" s="5"/>
      <c r="G13" s="5"/>
      <c r="H13" s="5"/>
      <c r="I13" s="5"/>
      <c r="J13" s="5"/>
      <c r="K13" s="5"/>
      <c r="L13" s="5"/>
      <c r="M13" s="22"/>
      <c r="N13" s="5"/>
      <c r="O13" s="17"/>
      <c r="P13" s="5"/>
      <c r="Q13" s="13"/>
      <c r="S13" s="63"/>
    </row>
    <row r="14" spans="1:19" s="4" customFormat="1">
      <c r="A14" s="3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5"/>
      <c r="O14" s="16"/>
      <c r="P14" s="5"/>
      <c r="Q14" s="13"/>
      <c r="S14" s="63"/>
    </row>
    <row r="15" spans="1:19" s="4" customFormat="1">
      <c r="C15" s="5"/>
      <c r="D15" s="5"/>
      <c r="E15" s="5"/>
      <c r="F15" s="5"/>
      <c r="G15" s="5"/>
      <c r="H15" s="5"/>
      <c r="I15" s="5"/>
      <c r="J15" s="5"/>
      <c r="K15" s="5"/>
      <c r="L15" s="5"/>
      <c r="M15" s="22"/>
      <c r="N15" s="5"/>
      <c r="O15" s="16"/>
      <c r="P15" s="5"/>
      <c r="Q15" s="13"/>
      <c r="S15" s="63"/>
    </row>
    <row r="16" spans="1:19" s="4" customFormat="1">
      <c r="A16" s="3" t="s">
        <v>23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22"/>
      <c r="N16" s="5"/>
      <c r="O16" s="16"/>
      <c r="P16" s="5"/>
      <c r="Q16" s="13"/>
      <c r="S16" s="63"/>
    </row>
    <row r="17" spans="1:19" s="4" customFormat="1">
      <c r="A17" s="4" t="s">
        <v>24</v>
      </c>
      <c r="C17" s="5">
        <v>18.5</v>
      </c>
      <c r="D17" s="5">
        <v>196.03</v>
      </c>
      <c r="E17" s="5">
        <v>903.47</v>
      </c>
      <c r="F17" s="5">
        <v>38.42</v>
      </c>
      <c r="G17" s="5">
        <v>18.5</v>
      </c>
      <c r="H17" s="5">
        <v>268.16000000000003</v>
      </c>
      <c r="I17" s="5">
        <v>18.5</v>
      </c>
      <c r="J17" s="5">
        <v>433.31</v>
      </c>
      <c r="K17" s="5">
        <v>556.22</v>
      </c>
      <c r="L17" s="5">
        <v>18.5</v>
      </c>
      <c r="M17" s="22">
        <v>232.7</v>
      </c>
      <c r="N17" s="5">
        <v>18.5</v>
      </c>
      <c r="O17" s="17">
        <f t="shared" ref="O17:O24" si="3">SUM(C17:N17)</f>
        <v>2720.81</v>
      </c>
      <c r="P17" s="5">
        <v>3000</v>
      </c>
      <c r="Q17" s="13">
        <f t="shared" ref="Q17:Q24" si="4">O17/P17</f>
        <v>0.90693666666666661</v>
      </c>
      <c r="S17" s="63"/>
    </row>
    <row r="18" spans="1:19" s="4" customFormat="1">
      <c r="A18" s="4" t="s">
        <v>25</v>
      </c>
      <c r="C18" s="5">
        <v>500</v>
      </c>
      <c r="D18" s="5">
        <v>400</v>
      </c>
      <c r="E18" s="5">
        <v>400</v>
      </c>
      <c r="F18" s="5">
        <v>400</v>
      </c>
      <c r="G18" s="5">
        <v>0</v>
      </c>
      <c r="H18" s="5">
        <v>400</v>
      </c>
      <c r="I18" s="5">
        <v>0</v>
      </c>
      <c r="J18" s="5">
        <v>0</v>
      </c>
      <c r="K18" s="5">
        <v>0</v>
      </c>
      <c r="L18" s="5">
        <v>0</v>
      </c>
      <c r="M18" s="22">
        <v>0</v>
      </c>
      <c r="N18" s="5">
        <v>550</v>
      </c>
      <c r="O18" s="17">
        <f t="shared" si="3"/>
        <v>2650</v>
      </c>
      <c r="P18" s="5">
        <v>3000</v>
      </c>
      <c r="Q18" s="13">
        <f t="shared" si="4"/>
        <v>0.8833333333333333</v>
      </c>
      <c r="S18" s="63"/>
    </row>
    <row r="19" spans="1:19" s="4" customFormat="1">
      <c r="A19" s="4" t="s">
        <v>26</v>
      </c>
      <c r="C19" s="5">
        <v>0</v>
      </c>
      <c r="D19" s="5">
        <v>0</v>
      </c>
      <c r="E19" s="5">
        <v>0</v>
      </c>
      <c r="F19" s="5">
        <v>0</v>
      </c>
      <c r="G19" s="5">
        <v>5887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22">
        <v>0</v>
      </c>
      <c r="N19" s="5">
        <v>0</v>
      </c>
      <c r="O19" s="17">
        <f t="shared" si="3"/>
        <v>5887</v>
      </c>
      <c r="P19" s="5">
        <v>5311</v>
      </c>
      <c r="Q19" s="13">
        <f t="shared" si="4"/>
        <v>1.1084541517604971</v>
      </c>
      <c r="S19" s="63"/>
    </row>
    <row r="20" spans="1:19" s="4" customFormat="1">
      <c r="A20" s="4" t="s">
        <v>27</v>
      </c>
      <c r="C20" s="5">
        <v>300</v>
      </c>
      <c r="D20" s="5">
        <v>0</v>
      </c>
      <c r="E20" s="5">
        <v>0</v>
      </c>
      <c r="F20" s="5">
        <v>0</v>
      </c>
      <c r="G20" s="5">
        <v>0</v>
      </c>
      <c r="H20" s="5">
        <v>435.93</v>
      </c>
      <c r="I20" s="5">
        <v>1453.1</v>
      </c>
      <c r="J20" s="5">
        <v>0</v>
      </c>
      <c r="K20" s="5">
        <v>726.55</v>
      </c>
      <c r="L20" s="5">
        <v>726.55</v>
      </c>
      <c r="M20" s="22">
        <v>726.55</v>
      </c>
      <c r="N20" s="5">
        <v>726.55</v>
      </c>
      <c r="O20" s="17">
        <f t="shared" si="3"/>
        <v>5095.2300000000005</v>
      </c>
      <c r="P20" s="5">
        <v>8500</v>
      </c>
      <c r="Q20" s="13">
        <f t="shared" si="4"/>
        <v>0.5994388235294118</v>
      </c>
      <c r="S20" s="63"/>
    </row>
    <row r="21" spans="1:19" s="4" customFormat="1">
      <c r="A21" s="1" t="s">
        <v>111</v>
      </c>
      <c r="C21" s="5">
        <v>218.49</v>
      </c>
      <c r="D21" s="5">
        <v>218.34</v>
      </c>
      <c r="E21" s="5">
        <v>218.34</v>
      </c>
      <c r="F21" s="5">
        <v>217.98</v>
      </c>
      <c r="G21" s="5">
        <v>230.79</v>
      </c>
      <c r="H21" s="5">
        <v>203.4</v>
      </c>
      <c r="I21" s="5">
        <v>217.35</v>
      </c>
      <c r="J21" s="5">
        <v>216.72</v>
      </c>
      <c r="K21" s="5">
        <v>453.24</v>
      </c>
      <c r="L21" s="5">
        <v>867.09</v>
      </c>
      <c r="M21" s="22">
        <v>273.38</v>
      </c>
      <c r="N21" s="5">
        <v>216.45</v>
      </c>
      <c r="O21" s="17">
        <f t="shared" si="3"/>
        <v>3551.57</v>
      </c>
      <c r="P21" s="5">
        <v>3470</v>
      </c>
      <c r="Q21" s="13">
        <f t="shared" si="4"/>
        <v>1.023507204610951</v>
      </c>
      <c r="S21" s="63"/>
    </row>
    <row r="22" spans="1:19" s="4" customFormat="1">
      <c r="A22" s="4" t="s">
        <v>28</v>
      </c>
      <c r="C22" s="5">
        <v>166.18</v>
      </c>
      <c r="D22" s="5">
        <v>197.8</v>
      </c>
      <c r="E22" s="5">
        <v>233.89</v>
      </c>
      <c r="F22" s="5">
        <v>261.52999999999997</v>
      </c>
      <c r="G22" s="5">
        <v>271.17</v>
      </c>
      <c r="H22" s="5">
        <v>215.64</v>
      </c>
      <c r="I22" s="5">
        <v>206.74</v>
      </c>
      <c r="J22" s="5">
        <v>324.82</v>
      </c>
      <c r="K22" s="5">
        <v>399.19</v>
      </c>
      <c r="L22" s="5">
        <v>426.2</v>
      </c>
      <c r="M22" s="22">
        <v>306.82</v>
      </c>
      <c r="N22" s="5">
        <v>235.19</v>
      </c>
      <c r="O22" s="17">
        <f t="shared" si="3"/>
        <v>3245.17</v>
      </c>
      <c r="P22" s="5">
        <v>4500</v>
      </c>
      <c r="Q22" s="13">
        <f t="shared" si="4"/>
        <v>0.72114888888888895</v>
      </c>
      <c r="S22" s="63"/>
    </row>
    <row r="23" spans="1:19" s="4" customFormat="1">
      <c r="A23" s="4" t="s">
        <v>29</v>
      </c>
      <c r="C23" s="5">
        <v>81.75</v>
      </c>
      <c r="D23" s="5">
        <v>81.75</v>
      </c>
      <c r="E23" s="5">
        <v>81.75</v>
      </c>
      <c r="F23" s="5">
        <v>81.75</v>
      </c>
      <c r="G23" s="5">
        <v>81.75</v>
      </c>
      <c r="H23" s="5">
        <v>388.11</v>
      </c>
      <c r="I23" s="5">
        <v>81.75</v>
      </c>
      <c r="J23" s="5">
        <v>81.75</v>
      </c>
      <c r="K23" s="5">
        <v>81.7</v>
      </c>
      <c r="L23" s="5">
        <v>81.8</v>
      </c>
      <c r="M23" s="22">
        <v>163.5</v>
      </c>
      <c r="N23" s="5">
        <v>0</v>
      </c>
      <c r="O23" s="17">
        <f t="shared" si="3"/>
        <v>1287.3599999999999</v>
      </c>
      <c r="P23" s="5">
        <v>1300</v>
      </c>
      <c r="Q23" s="13">
        <f t="shared" si="4"/>
        <v>0.99027692307692305</v>
      </c>
      <c r="S23" s="63"/>
    </row>
    <row r="24" spans="1:19" s="4" customFormat="1">
      <c r="A24" s="4" t="s">
        <v>30</v>
      </c>
      <c r="C24" s="5">
        <v>108</v>
      </c>
      <c r="D24" s="5">
        <v>0</v>
      </c>
      <c r="E24" s="5">
        <v>68.06</v>
      </c>
      <c r="F24" s="5">
        <v>16.43</v>
      </c>
      <c r="G24" s="5">
        <v>0</v>
      </c>
      <c r="H24" s="5">
        <v>58</v>
      </c>
      <c r="I24" s="5">
        <v>54.21</v>
      </c>
      <c r="J24" s="5">
        <v>0</v>
      </c>
      <c r="K24" s="5">
        <v>334.75</v>
      </c>
      <c r="L24" s="5">
        <v>0</v>
      </c>
      <c r="M24" s="22">
        <v>346.12</v>
      </c>
      <c r="N24" s="5">
        <v>922.93</v>
      </c>
      <c r="O24" s="17">
        <f t="shared" si="3"/>
        <v>1908.5</v>
      </c>
      <c r="P24" s="5">
        <v>1900</v>
      </c>
      <c r="Q24" s="13">
        <f t="shared" si="4"/>
        <v>1.0044736842105264</v>
      </c>
      <c r="S24" s="63"/>
    </row>
    <row r="25" spans="1:19" s="4" customFormat="1"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5"/>
      <c r="O25" s="17"/>
      <c r="P25" s="5"/>
      <c r="Q25" s="13"/>
      <c r="S25" s="63"/>
    </row>
    <row r="26" spans="1:19" s="4" customFormat="1">
      <c r="A26" s="3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22"/>
      <c r="N26" s="5"/>
      <c r="O26" s="16"/>
      <c r="P26" s="5"/>
      <c r="Q26" s="13"/>
      <c r="S26" s="63"/>
    </row>
    <row r="27" spans="1:19" s="4" customFormat="1">
      <c r="A27" s="4" t="s">
        <v>32</v>
      </c>
      <c r="C27" s="5">
        <v>0</v>
      </c>
      <c r="D27" s="5">
        <v>0</v>
      </c>
      <c r="E27" s="5">
        <v>0</v>
      </c>
      <c r="F27" s="5">
        <v>0</v>
      </c>
      <c r="G27" s="5">
        <v>37.93</v>
      </c>
      <c r="H27" s="5">
        <v>223.33</v>
      </c>
      <c r="I27" s="5">
        <v>0</v>
      </c>
      <c r="J27" s="5">
        <v>0</v>
      </c>
      <c r="K27" s="5">
        <v>25.86</v>
      </c>
      <c r="L27" s="5">
        <v>0</v>
      </c>
      <c r="M27" s="22">
        <v>1032.73</v>
      </c>
      <c r="N27" s="5">
        <v>252.65</v>
      </c>
      <c r="O27" s="17">
        <f>SUM(C27:N27)</f>
        <v>1572.5</v>
      </c>
      <c r="P27" s="5">
        <v>2440</v>
      </c>
      <c r="Q27" s="13">
        <f>O27/P27</f>
        <v>0.64446721311475408</v>
      </c>
      <c r="S27" s="63"/>
    </row>
    <row r="28" spans="1:19" s="4" customFormat="1">
      <c r="A28" s="4" t="s">
        <v>33</v>
      </c>
      <c r="C28" s="5">
        <v>750</v>
      </c>
      <c r="D28" s="5">
        <v>0</v>
      </c>
      <c r="E28" s="5">
        <v>100</v>
      </c>
      <c r="F28" s="5">
        <v>23.55</v>
      </c>
      <c r="G28" s="5">
        <v>0</v>
      </c>
      <c r="H28" s="5">
        <v>250</v>
      </c>
      <c r="I28" s="5">
        <v>250</v>
      </c>
      <c r="J28" s="5">
        <v>250</v>
      </c>
      <c r="K28" s="5">
        <v>946.34</v>
      </c>
      <c r="L28" s="5">
        <v>386.14</v>
      </c>
      <c r="M28" s="22">
        <v>10.9</v>
      </c>
      <c r="N28" s="5">
        <v>246.96</v>
      </c>
      <c r="O28" s="17">
        <f>SUM(C28:N28)</f>
        <v>3213.89</v>
      </c>
      <c r="P28" s="5">
        <v>3000</v>
      </c>
      <c r="Q28" s="13">
        <f>O28/P28</f>
        <v>1.0712966666666666</v>
      </c>
      <c r="S28" s="63"/>
    </row>
    <row r="29" spans="1:19" s="4" customFormat="1">
      <c r="A29" s="4" t="s">
        <v>34</v>
      </c>
      <c r="C29" s="5">
        <v>1185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22">
        <v>0</v>
      </c>
      <c r="N29" s="5">
        <v>0</v>
      </c>
      <c r="O29" s="17">
        <f>SUM(C29:N29)</f>
        <v>1185</v>
      </c>
      <c r="P29" s="5">
        <v>1185</v>
      </c>
      <c r="Q29" s="13">
        <f>O29/P29</f>
        <v>1</v>
      </c>
      <c r="S29" s="63"/>
    </row>
    <row r="30" spans="1:19" s="4" customFormat="1">
      <c r="A30" s="69" t="s">
        <v>35</v>
      </c>
      <c r="B30" s="69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22">
        <v>0</v>
      </c>
      <c r="N30" s="5">
        <v>0</v>
      </c>
      <c r="O30" s="17">
        <f>SUM(C30:N30)</f>
        <v>0</v>
      </c>
      <c r="P30" s="5">
        <v>100</v>
      </c>
      <c r="Q30" s="13">
        <f>O30/P30</f>
        <v>0</v>
      </c>
      <c r="S30" s="63"/>
    </row>
    <row r="31" spans="1:19" s="4" customFormat="1"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5"/>
      <c r="O31" s="17"/>
      <c r="P31" s="5"/>
      <c r="Q31" s="13"/>
      <c r="S31" s="63"/>
    </row>
    <row r="32" spans="1:19" s="4" customFormat="1">
      <c r="A32" s="3" t="s">
        <v>36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22"/>
      <c r="N32" s="5"/>
      <c r="O32" s="17"/>
      <c r="P32" s="5"/>
      <c r="Q32" s="13"/>
      <c r="S32" s="63"/>
    </row>
    <row r="33" spans="1:19" s="4" customFormat="1">
      <c r="A33" s="4" t="s">
        <v>37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6.89</v>
      </c>
      <c r="M33" s="22">
        <v>159.30000000000001</v>
      </c>
      <c r="N33" s="5">
        <v>0</v>
      </c>
      <c r="O33" s="17">
        <f>SUM(C33:N33)</f>
        <v>166.19</v>
      </c>
      <c r="P33" s="5">
        <v>187</v>
      </c>
      <c r="Q33" s="13">
        <f>O33/P33</f>
        <v>0.88871657754010691</v>
      </c>
      <c r="S33" s="63"/>
    </row>
    <row r="34" spans="1:19" s="4" customFormat="1">
      <c r="A34" s="4" t="s">
        <v>38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34.799999999999997</v>
      </c>
      <c r="L34" s="5">
        <v>0</v>
      </c>
      <c r="M34" s="22">
        <v>0</v>
      </c>
      <c r="N34" s="5">
        <v>71.599999999999994</v>
      </c>
      <c r="O34" s="17">
        <f>SUM(C34:N34)</f>
        <v>106.39999999999999</v>
      </c>
      <c r="P34" s="5">
        <v>135</v>
      </c>
      <c r="Q34" s="13">
        <f>O34/P34</f>
        <v>0.78814814814814804</v>
      </c>
      <c r="S34" s="63"/>
    </row>
    <row r="35" spans="1:19" s="4" customFormat="1">
      <c r="A35" s="4" t="s">
        <v>39</v>
      </c>
      <c r="C35" s="5">
        <v>0</v>
      </c>
      <c r="D35" s="5">
        <v>10.95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22">
        <v>39.96</v>
      </c>
      <c r="N35" s="5">
        <v>529.59</v>
      </c>
      <c r="O35" s="17">
        <f>SUM(C35:N35)</f>
        <v>580.5</v>
      </c>
      <c r="P35" s="5">
        <v>938</v>
      </c>
      <c r="Q35" s="13">
        <f>O35/P35</f>
        <v>0.61886993603411511</v>
      </c>
      <c r="S35" s="63"/>
    </row>
    <row r="36" spans="1:19" s="4" customFormat="1">
      <c r="A36" s="4" t="s">
        <v>103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22">
        <v>0</v>
      </c>
      <c r="N36" s="5">
        <v>0</v>
      </c>
      <c r="O36" s="17">
        <f>SUM(C36:N36)</f>
        <v>0</v>
      </c>
      <c r="P36" s="5">
        <v>200</v>
      </c>
      <c r="Q36" s="13">
        <f>O36/P36</f>
        <v>0</v>
      </c>
      <c r="S36" s="63"/>
    </row>
    <row r="37" spans="1:19" s="4" customFormat="1"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5"/>
      <c r="O37" s="17"/>
      <c r="P37" s="10"/>
      <c r="Q37" s="13"/>
      <c r="S37" s="63"/>
    </row>
    <row r="38" spans="1:19" s="4" customFormat="1">
      <c r="A38" s="3" t="s">
        <v>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22"/>
      <c r="N38" s="5"/>
      <c r="O38" s="17"/>
      <c r="P38" s="5"/>
      <c r="Q38" s="13"/>
      <c r="S38" s="63"/>
    </row>
    <row r="39" spans="1:19" s="4" customFormat="1">
      <c r="A39" s="69" t="s">
        <v>41</v>
      </c>
      <c r="B39" s="69"/>
      <c r="C39" s="5">
        <v>0</v>
      </c>
      <c r="D39" s="5">
        <v>0</v>
      </c>
      <c r="E39" s="5">
        <v>0</v>
      </c>
      <c r="F39" s="5">
        <v>303</v>
      </c>
      <c r="G39" s="5">
        <v>0</v>
      </c>
      <c r="H39" s="5">
        <v>0</v>
      </c>
      <c r="I39" s="5">
        <v>0</v>
      </c>
      <c r="J39" s="5">
        <v>0</v>
      </c>
      <c r="K39" s="5">
        <v>155.36000000000001</v>
      </c>
      <c r="L39" s="5">
        <v>0</v>
      </c>
      <c r="M39" s="22">
        <v>0</v>
      </c>
      <c r="N39" s="5">
        <v>0</v>
      </c>
      <c r="O39" s="17">
        <f>SUM(C39:N39)</f>
        <v>458.36</v>
      </c>
      <c r="P39" s="5">
        <v>600</v>
      </c>
      <c r="Q39" s="13">
        <f>O39/P39</f>
        <v>0.76393333333333335</v>
      </c>
      <c r="S39" s="63"/>
    </row>
    <row r="40" spans="1:19" s="4" customFormat="1">
      <c r="A40" s="69" t="s">
        <v>42</v>
      </c>
      <c r="B40" s="69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510</v>
      </c>
      <c r="L40" s="5">
        <v>500</v>
      </c>
      <c r="M40" s="22">
        <v>0</v>
      </c>
      <c r="N40" s="5">
        <v>0</v>
      </c>
      <c r="O40" s="17">
        <f>SUM(C40:N40)</f>
        <v>1010</v>
      </c>
      <c r="P40" s="5">
        <v>1650</v>
      </c>
      <c r="Q40" s="13">
        <f>O40/P40</f>
        <v>0.61212121212121207</v>
      </c>
      <c r="S40" s="63"/>
    </row>
    <row r="41" spans="1:19" s="4" customFormat="1">
      <c r="A41" s="69" t="s">
        <v>43</v>
      </c>
      <c r="B41" s="69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22">
        <v>129.5</v>
      </c>
      <c r="N41" s="5">
        <v>571.53</v>
      </c>
      <c r="O41" s="17">
        <f>SUM(C41:N41)</f>
        <v>701.03</v>
      </c>
      <c r="P41" s="5">
        <v>750</v>
      </c>
      <c r="Q41" s="13">
        <f>O41/P41</f>
        <v>0.93470666666666669</v>
      </c>
      <c r="S41" s="63"/>
    </row>
    <row r="42" spans="1:19" s="4" customFormat="1">
      <c r="A42" s="4" t="s">
        <v>44</v>
      </c>
      <c r="C42" s="5">
        <v>0</v>
      </c>
      <c r="D42" s="5">
        <v>0</v>
      </c>
      <c r="E42" s="5">
        <v>2500</v>
      </c>
      <c r="F42" s="5">
        <v>0</v>
      </c>
      <c r="G42" s="5">
        <v>2500</v>
      </c>
      <c r="H42" s="5">
        <v>0</v>
      </c>
      <c r="I42" s="5">
        <v>0</v>
      </c>
      <c r="J42" s="5">
        <v>0</v>
      </c>
      <c r="K42" s="5">
        <v>2500</v>
      </c>
      <c r="L42" s="5">
        <v>0</v>
      </c>
      <c r="M42" s="22">
        <v>2636</v>
      </c>
      <c r="N42" s="5">
        <v>0</v>
      </c>
      <c r="O42" s="17">
        <f>SUM(C42:N42)</f>
        <v>10136</v>
      </c>
      <c r="P42" s="5">
        <v>10136</v>
      </c>
      <c r="Q42" s="13">
        <f>O42/P42</f>
        <v>1</v>
      </c>
      <c r="S42" s="63"/>
    </row>
    <row r="43" spans="1:19" s="4" customFormat="1">
      <c r="C43" s="5"/>
      <c r="D43" s="5"/>
      <c r="E43" s="5"/>
      <c r="F43" s="5"/>
      <c r="G43" s="5"/>
      <c r="H43" s="5"/>
      <c r="I43" s="5"/>
      <c r="J43" s="5"/>
      <c r="K43" s="5"/>
      <c r="L43" s="5"/>
      <c r="M43" s="22"/>
      <c r="N43" s="5"/>
      <c r="O43" s="17"/>
      <c r="P43" s="5"/>
      <c r="Q43" s="13"/>
      <c r="S43" s="63"/>
    </row>
    <row r="44" spans="1:19" s="4" customFormat="1"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5"/>
      <c r="O44" s="17"/>
      <c r="P44" s="5"/>
      <c r="Q44" s="13"/>
      <c r="S44" s="63"/>
    </row>
    <row r="45" spans="1:19" s="4" customFormat="1">
      <c r="C45" s="2" t="s">
        <v>0</v>
      </c>
      <c r="D45" s="2" t="s">
        <v>1</v>
      </c>
      <c r="E45" s="2" t="s">
        <v>2</v>
      </c>
      <c r="F45" s="2" t="s">
        <v>3</v>
      </c>
      <c r="G45" s="2" t="s">
        <v>4</v>
      </c>
      <c r="H45" s="2" t="s">
        <v>5</v>
      </c>
      <c r="I45" s="2" t="s">
        <v>6</v>
      </c>
      <c r="J45" s="2" t="s">
        <v>7</v>
      </c>
      <c r="K45" s="2" t="s">
        <v>8</v>
      </c>
      <c r="L45" s="2" t="s">
        <v>9</v>
      </c>
      <c r="M45" s="21" t="s">
        <v>10</v>
      </c>
      <c r="N45" s="2" t="s">
        <v>11</v>
      </c>
      <c r="O45" s="16" t="s">
        <v>12</v>
      </c>
      <c r="P45" s="2" t="s">
        <v>13</v>
      </c>
      <c r="Q45" s="12" t="s">
        <v>14</v>
      </c>
      <c r="S45" s="63"/>
    </row>
    <row r="46" spans="1:19" s="4" customFormat="1">
      <c r="A46" s="3" t="s">
        <v>45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5"/>
      <c r="O46" s="17"/>
      <c r="P46" s="5"/>
      <c r="Q46" s="13"/>
      <c r="S46" s="63"/>
    </row>
    <row r="47" spans="1:19" s="3" customFormat="1">
      <c r="C47" s="2"/>
      <c r="D47" s="2"/>
      <c r="E47" s="2"/>
      <c r="F47" s="2"/>
      <c r="G47" s="2"/>
      <c r="H47" s="2"/>
      <c r="I47" s="2"/>
      <c r="J47" s="2"/>
      <c r="K47" s="2"/>
      <c r="L47" s="2"/>
      <c r="M47" s="21"/>
      <c r="N47" s="2"/>
      <c r="O47" s="16"/>
      <c r="Q47" s="14"/>
      <c r="S47" s="64"/>
    </row>
    <row r="48" spans="1:19" s="3" customFormat="1">
      <c r="A48" s="69" t="s">
        <v>46</v>
      </c>
      <c r="B48" s="69"/>
      <c r="C48" s="5">
        <v>1112.08</v>
      </c>
      <c r="D48" s="5">
        <v>1747.97</v>
      </c>
      <c r="E48" s="5">
        <v>1112.08</v>
      </c>
      <c r="F48" s="5">
        <v>1112.08</v>
      </c>
      <c r="G48" s="5">
        <v>1681.38</v>
      </c>
      <c r="H48" s="5">
        <v>1668.12</v>
      </c>
      <c r="I48" s="5">
        <v>1112.08</v>
      </c>
      <c r="J48" s="5">
        <v>1756.93</v>
      </c>
      <c r="K48" s="5">
        <v>1112.08</v>
      </c>
      <c r="L48" s="5">
        <v>1112.08</v>
      </c>
      <c r="M48" s="22">
        <v>1664.81</v>
      </c>
      <c r="N48" s="5">
        <v>1668.12</v>
      </c>
      <c r="O48" s="17">
        <f t="shared" ref="O48:O54" si="5">SUM(C48:N48)</f>
        <v>16859.809999999998</v>
      </c>
      <c r="P48" s="5">
        <v>16901</v>
      </c>
      <c r="Q48" s="13">
        <f t="shared" ref="Q48:Q54" si="6">O48/P48</f>
        <v>0.99756286610259737</v>
      </c>
      <c r="S48" s="64"/>
    </row>
    <row r="49" spans="1:19" s="3" customFormat="1">
      <c r="A49" s="69" t="s">
        <v>47</v>
      </c>
      <c r="B49" s="69"/>
      <c r="C49" s="5">
        <v>25</v>
      </c>
      <c r="D49" s="5">
        <v>0</v>
      </c>
      <c r="E49" s="5">
        <v>0</v>
      </c>
      <c r="F49" s="5">
        <v>193</v>
      </c>
      <c r="G49" s="5">
        <v>0</v>
      </c>
      <c r="H49" s="5">
        <v>0</v>
      </c>
      <c r="I49" s="5">
        <v>125</v>
      </c>
      <c r="J49" s="5">
        <v>0</v>
      </c>
      <c r="K49" s="5">
        <v>0</v>
      </c>
      <c r="L49" s="5">
        <v>0</v>
      </c>
      <c r="M49" s="22">
        <v>170</v>
      </c>
      <c r="N49" s="5">
        <v>0</v>
      </c>
      <c r="O49" s="17">
        <f t="shared" si="5"/>
        <v>513</v>
      </c>
      <c r="P49" s="5">
        <v>3050</v>
      </c>
      <c r="Q49" s="13">
        <f t="shared" si="6"/>
        <v>0.16819672131147542</v>
      </c>
      <c r="S49" s="64"/>
    </row>
    <row r="50" spans="1:19" s="3" customFormat="1">
      <c r="A50" s="69" t="s">
        <v>48</v>
      </c>
      <c r="B50" s="69"/>
      <c r="C50" s="5">
        <v>0</v>
      </c>
      <c r="D50" s="5">
        <v>973.11</v>
      </c>
      <c r="E50" s="5">
        <v>650.03</v>
      </c>
      <c r="F50" s="5">
        <v>650.03</v>
      </c>
      <c r="G50" s="5">
        <v>1026.95</v>
      </c>
      <c r="H50" s="5">
        <v>650.03</v>
      </c>
      <c r="I50" s="5">
        <v>650</v>
      </c>
      <c r="J50" s="5">
        <v>973.11</v>
      </c>
      <c r="K50" s="5">
        <v>650.03</v>
      </c>
      <c r="L50" s="5">
        <v>650</v>
      </c>
      <c r="M50" s="22">
        <v>973</v>
      </c>
      <c r="N50" s="5">
        <v>1300.06</v>
      </c>
      <c r="O50" s="17">
        <f t="shared" si="5"/>
        <v>9146.3499999999985</v>
      </c>
      <c r="P50" s="5">
        <v>7800</v>
      </c>
      <c r="Q50" s="13">
        <f t="shared" si="6"/>
        <v>1.1726089743589743</v>
      </c>
      <c r="S50" s="64"/>
    </row>
    <row r="51" spans="1:19" s="3" customFormat="1">
      <c r="A51" s="4" t="s">
        <v>49</v>
      </c>
      <c r="B51" s="4"/>
      <c r="C51" s="5">
        <v>0</v>
      </c>
      <c r="D51" s="5">
        <v>95</v>
      </c>
      <c r="E51" s="5">
        <v>50</v>
      </c>
      <c r="F51" s="5">
        <v>40</v>
      </c>
      <c r="G51" s="5">
        <v>0</v>
      </c>
      <c r="H51" s="5">
        <v>0</v>
      </c>
      <c r="I51" s="5">
        <v>30</v>
      </c>
      <c r="J51" s="5">
        <v>0</v>
      </c>
      <c r="K51" s="5">
        <v>0</v>
      </c>
      <c r="L51" s="5">
        <v>0</v>
      </c>
      <c r="M51" s="22">
        <v>0</v>
      </c>
      <c r="N51" s="5">
        <v>0</v>
      </c>
      <c r="O51" s="17">
        <f t="shared" si="5"/>
        <v>215</v>
      </c>
      <c r="P51" s="5">
        <v>5200</v>
      </c>
      <c r="Q51" s="13">
        <f t="shared" si="6"/>
        <v>4.1346153846153845E-2</v>
      </c>
      <c r="S51" s="64"/>
    </row>
    <row r="52" spans="1:19" s="3" customFormat="1">
      <c r="A52" s="4" t="s">
        <v>50</v>
      </c>
      <c r="B52" s="4"/>
      <c r="C52" s="5">
        <v>0</v>
      </c>
      <c r="D52" s="5">
        <v>73.900000000000006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22">
        <v>92.35</v>
      </c>
      <c r="N52" s="5">
        <v>128.5</v>
      </c>
      <c r="O52" s="17">
        <f t="shared" si="5"/>
        <v>294.75</v>
      </c>
      <c r="P52" s="5">
        <v>3570</v>
      </c>
      <c r="Q52" s="13">
        <f t="shared" si="6"/>
        <v>8.2563025210084032E-2</v>
      </c>
      <c r="S52" s="64"/>
    </row>
    <row r="53" spans="1:19" s="4" customFormat="1">
      <c r="A53" s="69" t="s">
        <v>51</v>
      </c>
      <c r="B53" s="69"/>
      <c r="C53" s="5">
        <v>0</v>
      </c>
      <c r="D53" s="5">
        <v>164.93</v>
      </c>
      <c r="E53" s="5">
        <v>110.17</v>
      </c>
      <c r="F53" s="5">
        <v>110.17</v>
      </c>
      <c r="G53" s="5">
        <v>498.14</v>
      </c>
      <c r="H53" s="5">
        <v>443.28</v>
      </c>
      <c r="I53" s="5">
        <v>443.28</v>
      </c>
      <c r="J53" s="5">
        <v>663.6</v>
      </c>
      <c r="K53" s="5">
        <v>407.49</v>
      </c>
      <c r="L53" s="5">
        <v>461.75</v>
      </c>
      <c r="M53" s="22">
        <v>800.41</v>
      </c>
      <c r="N53" s="5">
        <v>692.62</v>
      </c>
      <c r="O53" s="17">
        <f t="shared" si="5"/>
        <v>4795.84</v>
      </c>
      <c r="P53" s="5">
        <v>7500</v>
      </c>
      <c r="Q53" s="13">
        <f t="shared" si="6"/>
        <v>0.63944533333333331</v>
      </c>
      <c r="S53" s="63"/>
    </row>
    <row r="54" spans="1:19" s="4" customFormat="1">
      <c r="A54" s="4" t="s">
        <v>104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22">
        <v>0</v>
      </c>
      <c r="N54" s="5">
        <v>423</v>
      </c>
      <c r="O54" s="17">
        <f t="shared" si="5"/>
        <v>423</v>
      </c>
      <c r="P54" s="5">
        <v>423</v>
      </c>
      <c r="Q54" s="13">
        <f t="shared" si="6"/>
        <v>1</v>
      </c>
      <c r="S54" s="63"/>
    </row>
    <row r="55" spans="1:19" s="4" customFormat="1">
      <c r="C55" s="5"/>
      <c r="D55" s="5"/>
      <c r="E55" s="5"/>
      <c r="F55" s="5"/>
      <c r="G55" s="5"/>
      <c r="H55" s="5"/>
      <c r="I55" s="5"/>
      <c r="J55" s="5"/>
      <c r="K55" s="5"/>
      <c r="L55" s="5"/>
      <c r="M55" s="22"/>
      <c r="N55" s="5"/>
      <c r="O55" s="17"/>
      <c r="P55" s="10"/>
      <c r="Q55" s="13"/>
      <c r="S55" s="63"/>
    </row>
    <row r="56" spans="1:19" s="4" customFormat="1">
      <c r="A56" s="3" t="s">
        <v>52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22"/>
      <c r="N56" s="5"/>
      <c r="O56" s="17"/>
      <c r="P56" s="2">
        <v>67937</v>
      </c>
      <c r="Q56" s="13">
        <f>(O57+O58+O59+O60)/P56</f>
        <v>0.94009641285308432</v>
      </c>
      <c r="S56" s="63"/>
    </row>
    <row r="57" spans="1:19" s="4" customFormat="1">
      <c r="A57" s="1" t="s">
        <v>53</v>
      </c>
      <c r="C57" s="5">
        <f>5380.88+20</f>
        <v>5400.88</v>
      </c>
      <c r="D57" s="5">
        <v>4374.6400000000003</v>
      </c>
      <c r="E57" s="5">
        <v>4141.17</v>
      </c>
      <c r="F57" s="5">
        <v>3953.44</v>
      </c>
      <c r="G57" s="5">
        <v>3953.44</v>
      </c>
      <c r="H57" s="5">
        <v>5914.11</v>
      </c>
      <c r="I57" s="5">
        <v>3953.44</v>
      </c>
      <c r="J57" s="5">
        <v>4059.04</v>
      </c>
      <c r="K57" s="5">
        <v>3970.24</v>
      </c>
      <c r="L57" s="5">
        <v>3970.24</v>
      </c>
      <c r="M57" s="22">
        <v>3970.24</v>
      </c>
      <c r="N57" s="5">
        <v>5913.56</v>
      </c>
      <c r="O57" s="17">
        <f>SUM(C57:N57)</f>
        <v>53574.439999999988</v>
      </c>
      <c r="P57" s="5">
        <v>53809</v>
      </c>
      <c r="Q57" s="13"/>
      <c r="S57" s="63"/>
    </row>
    <row r="58" spans="1:19" s="4" customFormat="1">
      <c r="A58" s="4" t="s">
        <v>54</v>
      </c>
      <c r="C58" s="5">
        <v>430.5</v>
      </c>
      <c r="D58" s="5">
        <v>428.66</v>
      </c>
      <c r="E58" s="5">
        <v>85.6</v>
      </c>
      <c r="F58" s="5">
        <v>114.2</v>
      </c>
      <c r="G58" s="5">
        <v>85.6</v>
      </c>
      <c r="H58" s="5">
        <v>85.6</v>
      </c>
      <c r="I58" s="5">
        <v>85.6</v>
      </c>
      <c r="J58" s="5">
        <v>85.6</v>
      </c>
      <c r="K58" s="5">
        <v>85.6</v>
      </c>
      <c r="L58" s="5">
        <v>85.6</v>
      </c>
      <c r="M58" s="22">
        <v>85.6</v>
      </c>
      <c r="N58" s="5">
        <v>85.6</v>
      </c>
      <c r="O58" s="17">
        <f>SUM(C58:N58)</f>
        <v>1743.7599999999993</v>
      </c>
      <c r="P58" s="5">
        <v>1628</v>
      </c>
      <c r="Q58" s="13"/>
      <c r="S58" s="63"/>
    </row>
    <row r="59" spans="1:19" s="4" customFormat="1">
      <c r="A59" s="4" t="s">
        <v>55</v>
      </c>
      <c r="C59" s="5">
        <v>227.45</v>
      </c>
      <c r="D59" s="5">
        <v>454.9</v>
      </c>
      <c r="E59" s="5">
        <v>324.94</v>
      </c>
      <c r="F59" s="5">
        <v>400</v>
      </c>
      <c r="G59" s="5">
        <v>400</v>
      </c>
      <c r="H59" s="5">
        <v>400</v>
      </c>
      <c r="I59" s="5">
        <v>400</v>
      </c>
      <c r="J59" s="5">
        <v>400</v>
      </c>
      <c r="K59" s="5">
        <v>400</v>
      </c>
      <c r="L59" s="5">
        <v>400</v>
      </c>
      <c r="M59" s="22">
        <v>400</v>
      </c>
      <c r="N59" s="5">
        <v>400</v>
      </c>
      <c r="O59" s="17">
        <f>SUM(C59:N59)</f>
        <v>4607.29</v>
      </c>
      <c r="P59" s="5">
        <v>5000</v>
      </c>
      <c r="Q59" s="13"/>
      <c r="S59" s="63"/>
    </row>
    <row r="60" spans="1:19" s="4" customFormat="1">
      <c r="A60" s="4" t="s">
        <v>56</v>
      </c>
      <c r="C60" s="5">
        <v>435.9</v>
      </c>
      <c r="D60" s="5">
        <v>200</v>
      </c>
      <c r="E60" s="5">
        <v>250</v>
      </c>
      <c r="F60" s="5">
        <v>1585</v>
      </c>
      <c r="G60" s="5">
        <v>0</v>
      </c>
      <c r="H60" s="5">
        <v>0</v>
      </c>
      <c r="I60" s="5">
        <v>0</v>
      </c>
      <c r="J60" s="5">
        <v>0</v>
      </c>
      <c r="K60" s="5">
        <v>1394.12</v>
      </c>
      <c r="L60" s="5">
        <v>33.369999999999997</v>
      </c>
      <c r="M60" s="22">
        <v>0</v>
      </c>
      <c r="N60" s="5">
        <v>43.45</v>
      </c>
      <c r="O60" s="17">
        <f>SUM(C60:N60)</f>
        <v>3941.8399999999997</v>
      </c>
      <c r="P60" s="5">
        <v>7500</v>
      </c>
      <c r="Q60" s="13"/>
      <c r="S60" s="63"/>
    </row>
    <row r="61" spans="1:19" s="4" customFormat="1">
      <c r="C61" s="5"/>
      <c r="D61" s="5"/>
      <c r="E61" s="5"/>
      <c r="F61" s="5"/>
      <c r="G61" s="5"/>
      <c r="H61" s="5"/>
      <c r="I61" s="5"/>
      <c r="J61" s="5"/>
      <c r="K61" s="5"/>
      <c r="L61" s="5"/>
      <c r="M61" s="22"/>
      <c r="N61" s="5"/>
      <c r="O61" s="17"/>
      <c r="P61" s="5"/>
      <c r="Q61" s="13"/>
      <c r="S61" s="63"/>
    </row>
    <row r="62" spans="1:19" s="4" customFormat="1">
      <c r="A62" s="6" t="s">
        <v>57</v>
      </c>
      <c r="C62" s="2">
        <f t="shared" ref="C62:O62" si="7">SUM(C17:C60)</f>
        <v>10959.730000000001</v>
      </c>
      <c r="D62" s="2">
        <f t="shared" si="7"/>
        <v>9617.9800000000014</v>
      </c>
      <c r="E62" s="2">
        <f t="shared" si="7"/>
        <v>11229.5</v>
      </c>
      <c r="F62" s="2">
        <f t="shared" si="7"/>
        <v>9500.5799999999981</v>
      </c>
      <c r="G62" s="2">
        <f t="shared" si="7"/>
        <v>16672.650000000001</v>
      </c>
      <c r="H62" s="2">
        <f t="shared" si="7"/>
        <v>11603.710000000001</v>
      </c>
      <c r="I62" s="2">
        <f t="shared" si="7"/>
        <v>9081.0499999999993</v>
      </c>
      <c r="J62" s="2">
        <f t="shared" si="7"/>
        <v>9244.8799999999992</v>
      </c>
      <c r="K62" s="2">
        <f t="shared" si="7"/>
        <v>14743.57</v>
      </c>
      <c r="L62" s="2">
        <f t="shared" si="7"/>
        <v>9726.2100000000009</v>
      </c>
      <c r="M62" s="21">
        <f t="shared" si="7"/>
        <v>14213.87</v>
      </c>
      <c r="N62" s="2">
        <f t="shared" si="7"/>
        <v>14996.860000000002</v>
      </c>
      <c r="O62" s="16">
        <f t="shared" si="7"/>
        <v>141590.58999999997</v>
      </c>
      <c r="P62" s="2">
        <f>SUM(P17:P54,P56)</f>
        <v>164683</v>
      </c>
      <c r="Q62" s="12">
        <f>O62/P62</f>
        <v>0.85977660110636778</v>
      </c>
      <c r="S62" s="63"/>
    </row>
    <row r="63" spans="1:19" s="4" customFormat="1">
      <c r="A63" s="6" t="s">
        <v>58</v>
      </c>
      <c r="B63" s="6"/>
      <c r="C63" s="5">
        <f t="shared" ref="C63:O63" si="8">C11-C62</f>
        <v>14855.99</v>
      </c>
      <c r="D63" s="5">
        <f t="shared" si="8"/>
        <v>571.92999999999847</v>
      </c>
      <c r="E63" s="5">
        <f t="shared" si="8"/>
        <v>-6730.71</v>
      </c>
      <c r="F63" s="5">
        <f t="shared" si="8"/>
        <v>-7284.5799999999981</v>
      </c>
      <c r="G63" s="5">
        <f t="shared" si="8"/>
        <v>-4765.8000000000011</v>
      </c>
      <c r="H63" s="5">
        <f t="shared" si="8"/>
        <v>7741.9899999999961</v>
      </c>
      <c r="I63" s="5">
        <f t="shared" si="8"/>
        <v>15187.27</v>
      </c>
      <c r="J63" s="5">
        <f t="shared" si="8"/>
        <v>-56.859999999998763</v>
      </c>
      <c r="K63" s="5">
        <f t="shared" si="8"/>
        <v>-4381.2700000000004</v>
      </c>
      <c r="L63" s="5">
        <f t="shared" si="8"/>
        <v>24669.210000000006</v>
      </c>
      <c r="M63" s="22">
        <f t="shared" si="8"/>
        <v>-5580.83</v>
      </c>
      <c r="N63" s="5">
        <f t="shared" si="8"/>
        <v>-7104.3600000000024</v>
      </c>
      <c r="O63" s="16">
        <f t="shared" si="8"/>
        <v>27121.98000000004</v>
      </c>
      <c r="P63" s="5"/>
      <c r="Q63" s="13"/>
      <c r="S63" s="63"/>
    </row>
    <row r="64" spans="1:19" s="4" customFormat="1">
      <c r="A64" s="6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22"/>
      <c r="N64" s="5"/>
      <c r="O64" s="16"/>
      <c r="P64" s="5"/>
      <c r="Q64" s="13"/>
      <c r="S64" s="63"/>
    </row>
    <row r="65" spans="1:19" s="4" customFormat="1">
      <c r="A65" s="3" t="s">
        <v>59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1"/>
      <c r="N65" s="2"/>
      <c r="O65" s="16"/>
      <c r="P65" s="5"/>
      <c r="Q65" s="13"/>
      <c r="S65" s="63"/>
    </row>
    <row r="66" spans="1:19" s="4" customFormat="1" ht="14.4">
      <c r="B66" s="7"/>
      <c r="C66" s="2" t="s">
        <v>11</v>
      </c>
      <c r="D66" s="2" t="s">
        <v>0</v>
      </c>
      <c r="E66" s="2" t="s">
        <v>1</v>
      </c>
      <c r="F66" s="2" t="s">
        <v>2</v>
      </c>
      <c r="G66" s="2" t="s">
        <v>3</v>
      </c>
      <c r="H66" s="2" t="s">
        <v>4</v>
      </c>
      <c r="I66" s="2" t="s">
        <v>5</v>
      </c>
      <c r="J66" s="2" t="s">
        <v>6</v>
      </c>
      <c r="K66" s="2" t="s">
        <v>7</v>
      </c>
      <c r="L66" s="2" t="s">
        <v>8</v>
      </c>
      <c r="M66" s="21" t="s">
        <v>9</v>
      </c>
      <c r="N66" s="2" t="s">
        <v>10</v>
      </c>
      <c r="O66" s="2" t="s">
        <v>11</v>
      </c>
      <c r="P66" s="5"/>
      <c r="Q66" s="13"/>
      <c r="S66" s="63"/>
    </row>
    <row r="67" spans="1:19" s="4" customFormat="1" ht="14.4">
      <c r="A67" s="3" t="s">
        <v>60</v>
      </c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1"/>
      <c r="N67" s="2"/>
      <c r="O67" s="16"/>
      <c r="P67" s="5"/>
      <c r="Q67" s="13"/>
      <c r="S67" s="63"/>
    </row>
    <row r="68" spans="1:19" s="4" customFormat="1">
      <c r="A68" s="4" t="s">
        <v>109</v>
      </c>
      <c r="C68" s="5">
        <v>79192.97</v>
      </c>
      <c r="D68" s="5">
        <v>67116.33</v>
      </c>
      <c r="E68" s="5">
        <v>66336.88</v>
      </c>
      <c r="F68" s="5">
        <v>60000.37</v>
      </c>
      <c r="G68" s="5">
        <v>52517.47</v>
      </c>
      <c r="H68" s="5">
        <v>46241.38</v>
      </c>
      <c r="I68" s="5">
        <v>56453.37</v>
      </c>
      <c r="J68" s="5">
        <v>73674.179999999993</v>
      </c>
      <c r="K68" s="5">
        <v>75927.320000000007</v>
      </c>
      <c r="L68" s="5">
        <v>70894.63</v>
      </c>
      <c r="M68" s="22">
        <v>100852.89</v>
      </c>
      <c r="N68" s="5">
        <v>103615.48</v>
      </c>
      <c r="O68" s="17">
        <v>102306.03</v>
      </c>
      <c r="P68" s="5"/>
      <c r="Q68" s="13"/>
      <c r="S68" s="63"/>
    </row>
    <row r="69" spans="1:19" s="4" customFormat="1">
      <c r="A69" s="4" t="s">
        <v>110</v>
      </c>
      <c r="C69" s="5">
        <v>2979.49</v>
      </c>
      <c r="D69" s="5">
        <v>2979.61</v>
      </c>
      <c r="E69" s="5">
        <v>2979.73</v>
      </c>
      <c r="F69" s="5">
        <v>2979.85</v>
      </c>
      <c r="G69" s="5">
        <v>2979.97</v>
      </c>
      <c r="H69" s="5">
        <v>2980.06</v>
      </c>
      <c r="I69" s="5">
        <v>2980.08</v>
      </c>
      <c r="J69" s="5">
        <v>2980.1</v>
      </c>
      <c r="K69" s="5">
        <v>2980.12</v>
      </c>
      <c r="L69" s="5">
        <v>2980.14</v>
      </c>
      <c r="M69" s="22">
        <v>2980.16</v>
      </c>
      <c r="N69" s="5">
        <v>2980.18</v>
      </c>
      <c r="O69" s="17">
        <v>2980</v>
      </c>
      <c r="P69" s="5"/>
      <c r="Q69" s="13"/>
      <c r="S69" s="63"/>
    </row>
    <row r="70" spans="1:19" s="4" customFormat="1">
      <c r="A70" s="4" t="s">
        <v>61</v>
      </c>
      <c r="C70" s="5">
        <v>76203.64</v>
      </c>
      <c r="D70" s="5">
        <v>76849.08</v>
      </c>
      <c r="E70" s="5">
        <v>77257.88</v>
      </c>
      <c r="F70" s="5">
        <v>77979.59</v>
      </c>
      <c r="G70" s="5">
        <v>76587.570000000007</v>
      </c>
      <c r="H70" s="5">
        <v>78049.460000000006</v>
      </c>
      <c r="I70" s="5">
        <v>77395.240000000005</v>
      </c>
      <c r="J70" s="5">
        <v>78819.53</v>
      </c>
      <c r="K70" s="5">
        <v>77179.97</v>
      </c>
      <c r="L70" s="5">
        <v>76208.14</v>
      </c>
      <c r="M70" s="22">
        <v>75855.199999999997</v>
      </c>
      <c r="N70" s="5">
        <v>73781.41</v>
      </c>
      <c r="O70" s="17">
        <v>74331.98</v>
      </c>
      <c r="P70" s="5"/>
      <c r="Q70" s="13"/>
      <c r="S70" s="63"/>
    </row>
    <row r="71" spans="1:19" s="4" customFormat="1">
      <c r="A71" s="6" t="s">
        <v>62</v>
      </c>
      <c r="B71" s="8"/>
      <c r="C71" s="2">
        <f t="shared" ref="C71:O71" si="9">SUM(C68:C70)</f>
        <v>158376.1</v>
      </c>
      <c r="D71" s="2">
        <f t="shared" si="9"/>
        <v>146945.02000000002</v>
      </c>
      <c r="E71" s="2">
        <f t="shared" si="9"/>
        <v>146574.49</v>
      </c>
      <c r="F71" s="2">
        <f t="shared" si="9"/>
        <v>140959.81</v>
      </c>
      <c r="G71" s="2">
        <f t="shared" si="9"/>
        <v>132085.01</v>
      </c>
      <c r="H71" s="2">
        <f t="shared" si="9"/>
        <v>127270.9</v>
      </c>
      <c r="I71" s="2">
        <f t="shared" si="9"/>
        <v>136828.69</v>
      </c>
      <c r="J71" s="2">
        <f t="shared" si="9"/>
        <v>155473.81</v>
      </c>
      <c r="K71" s="2">
        <f t="shared" si="9"/>
        <v>156087.41</v>
      </c>
      <c r="L71" s="2">
        <f t="shared" si="9"/>
        <v>150082.91</v>
      </c>
      <c r="M71" s="21">
        <f t="shared" si="9"/>
        <v>179688.25</v>
      </c>
      <c r="N71" s="2">
        <f t="shared" si="9"/>
        <v>180377.07</v>
      </c>
      <c r="O71" s="16">
        <f t="shared" si="9"/>
        <v>179618.01</v>
      </c>
      <c r="P71" s="5"/>
      <c r="Q71" s="13"/>
      <c r="S71" s="63"/>
    </row>
    <row r="72" spans="1:19" s="4" customFormat="1">
      <c r="C72" s="5"/>
      <c r="D72" s="5"/>
      <c r="E72" s="5"/>
      <c r="F72" s="5"/>
      <c r="G72" s="5"/>
      <c r="H72" s="5"/>
      <c r="I72" s="5"/>
      <c r="J72" s="5"/>
      <c r="K72" s="5"/>
      <c r="L72" s="5"/>
      <c r="M72" s="22"/>
      <c r="N72" s="5"/>
      <c r="O72" s="17"/>
      <c r="P72" s="5"/>
      <c r="Q72" s="13"/>
      <c r="S72" s="63"/>
    </row>
    <row r="73" spans="1:19" s="4" customFormat="1">
      <c r="A73" s="3" t="s">
        <v>63</v>
      </c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22"/>
      <c r="N73" s="5"/>
      <c r="O73" s="17"/>
      <c r="P73" s="5"/>
      <c r="Q73" s="13"/>
      <c r="S73" s="63"/>
    </row>
    <row r="74" spans="1:19" s="4" customFormat="1">
      <c r="A74" s="3"/>
      <c r="B74" s="3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22">
        <v>0</v>
      </c>
      <c r="N74" s="5">
        <v>0</v>
      </c>
      <c r="O74" s="17">
        <v>0</v>
      </c>
      <c r="P74" s="5"/>
      <c r="Q74" s="13"/>
      <c r="S74" s="63"/>
    </row>
    <row r="75" spans="1:19" s="4" customFormat="1">
      <c r="C75" s="5"/>
      <c r="D75" s="5"/>
      <c r="E75" s="5"/>
      <c r="F75" s="5"/>
      <c r="G75" s="5"/>
      <c r="H75" s="5"/>
      <c r="I75" s="5"/>
      <c r="J75" s="5"/>
      <c r="K75" s="5"/>
      <c r="L75" s="5"/>
      <c r="M75" s="22"/>
      <c r="N75" s="5"/>
      <c r="O75" s="17"/>
      <c r="P75" s="5"/>
      <c r="Q75" s="13"/>
      <c r="S75" s="63"/>
    </row>
    <row r="76" spans="1:19" s="4" customFormat="1">
      <c r="A76" s="6" t="s">
        <v>64</v>
      </c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22"/>
      <c r="N76" s="5"/>
      <c r="O76" s="17"/>
      <c r="P76" s="5"/>
      <c r="Q76" s="13"/>
      <c r="S76" s="63"/>
    </row>
    <row r="77" spans="1:19" s="4" customFormat="1">
      <c r="A77" s="6" t="s">
        <v>65</v>
      </c>
      <c r="B77" s="8"/>
      <c r="C77" s="5">
        <f>C74-C71</f>
        <v>-158376.1</v>
      </c>
      <c r="D77" s="5">
        <f t="shared" ref="D77:O77" si="10">D74-D71</f>
        <v>-146945.02000000002</v>
      </c>
      <c r="E77" s="5">
        <f t="shared" si="10"/>
        <v>-146574.49</v>
      </c>
      <c r="F77" s="5">
        <f t="shared" si="10"/>
        <v>-140959.81</v>
      </c>
      <c r="G77" s="5">
        <f t="shared" si="10"/>
        <v>-132085.01</v>
      </c>
      <c r="H77" s="5">
        <f t="shared" si="10"/>
        <v>-127270.9</v>
      </c>
      <c r="I77" s="5">
        <f t="shared" si="10"/>
        <v>-136828.69</v>
      </c>
      <c r="J77" s="5">
        <f t="shared" si="10"/>
        <v>-155473.81</v>
      </c>
      <c r="K77" s="5">
        <f t="shared" si="10"/>
        <v>-156087.41</v>
      </c>
      <c r="L77" s="5">
        <f t="shared" si="10"/>
        <v>-150082.91</v>
      </c>
      <c r="M77" s="22">
        <f t="shared" si="10"/>
        <v>-179688.25</v>
      </c>
      <c r="N77" s="5">
        <f t="shared" si="10"/>
        <v>-180377.07</v>
      </c>
      <c r="O77" s="17">
        <f t="shared" si="10"/>
        <v>-179618.01</v>
      </c>
      <c r="P77" s="5"/>
      <c r="Q77" s="13"/>
      <c r="S77" s="63"/>
    </row>
    <row r="78" spans="1:19" s="4" customFormat="1">
      <c r="C78" s="5"/>
      <c r="D78" s="5"/>
      <c r="E78" s="5"/>
      <c r="F78" s="5"/>
      <c r="G78" s="5"/>
      <c r="H78" s="5"/>
      <c r="I78" s="5"/>
      <c r="J78" s="5"/>
      <c r="K78" s="5"/>
      <c r="L78" s="5"/>
      <c r="M78" s="22"/>
      <c r="N78" s="5"/>
      <c r="O78" s="17"/>
      <c r="P78" s="5"/>
      <c r="Q78" s="13"/>
      <c r="S78" s="63"/>
    </row>
    <row r="79" spans="1:19" s="4" customFormat="1">
      <c r="A79" s="3" t="s">
        <v>66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22"/>
      <c r="N79" s="5"/>
      <c r="O79" s="17"/>
      <c r="P79" s="5"/>
      <c r="Q79" s="13"/>
      <c r="S79" s="63"/>
    </row>
    <row r="80" spans="1:19" s="4" customFormat="1">
      <c r="A80" s="4" t="s">
        <v>67</v>
      </c>
      <c r="C80" s="5">
        <f t="shared" ref="C80:O80" si="11">C71</f>
        <v>158376.1</v>
      </c>
      <c r="D80" s="5">
        <f t="shared" si="11"/>
        <v>146945.02000000002</v>
      </c>
      <c r="E80" s="5">
        <f t="shared" si="11"/>
        <v>146574.49</v>
      </c>
      <c r="F80" s="5">
        <f t="shared" si="11"/>
        <v>140959.81</v>
      </c>
      <c r="G80" s="5">
        <f t="shared" si="11"/>
        <v>132085.01</v>
      </c>
      <c r="H80" s="5">
        <f t="shared" si="11"/>
        <v>127270.9</v>
      </c>
      <c r="I80" s="5">
        <f t="shared" si="11"/>
        <v>136828.69</v>
      </c>
      <c r="J80" s="5">
        <f t="shared" si="11"/>
        <v>155473.81</v>
      </c>
      <c r="K80" s="5">
        <f t="shared" si="11"/>
        <v>156087.41</v>
      </c>
      <c r="L80" s="5">
        <f t="shared" si="11"/>
        <v>150082.91</v>
      </c>
      <c r="M80" s="22">
        <f t="shared" si="11"/>
        <v>179688.25</v>
      </c>
      <c r="N80" s="5">
        <f t="shared" si="11"/>
        <v>180377.07</v>
      </c>
      <c r="O80" s="17">
        <f t="shared" si="11"/>
        <v>179618.01</v>
      </c>
      <c r="P80" s="5"/>
      <c r="Q80" s="13"/>
      <c r="S80" s="63"/>
    </row>
    <row r="81" spans="1:19" s="4" customFormat="1">
      <c r="A81" s="4" t="s">
        <v>68</v>
      </c>
      <c r="C81" s="5">
        <f>C106</f>
        <v>38219</v>
      </c>
      <c r="D81" s="5">
        <f t="shared" ref="D81:O81" si="12">D106</f>
        <v>45076.82</v>
      </c>
      <c r="E81" s="5">
        <f t="shared" si="12"/>
        <v>44117.89</v>
      </c>
      <c r="F81" s="5">
        <f t="shared" si="12"/>
        <v>44117.89</v>
      </c>
      <c r="G81" s="5">
        <f t="shared" si="12"/>
        <v>44117.89</v>
      </c>
      <c r="H81" s="5">
        <f t="shared" si="12"/>
        <v>43003.18</v>
      </c>
      <c r="I81" s="5">
        <f t="shared" si="12"/>
        <v>44283.18</v>
      </c>
      <c r="J81" s="5">
        <f t="shared" si="12"/>
        <v>45583.18</v>
      </c>
      <c r="K81" s="5">
        <f t="shared" si="12"/>
        <v>45583.18</v>
      </c>
      <c r="L81" s="5">
        <f t="shared" si="12"/>
        <v>45583.18</v>
      </c>
      <c r="M81" s="22">
        <f t="shared" si="12"/>
        <v>43689</v>
      </c>
      <c r="N81" s="5">
        <f t="shared" si="12"/>
        <v>43354.340000000004</v>
      </c>
      <c r="O81" s="17">
        <f t="shared" si="12"/>
        <v>43777.340000000004</v>
      </c>
      <c r="Q81" s="15"/>
      <c r="S81" s="63"/>
    </row>
    <row r="82" spans="1:19" s="4" customFormat="1">
      <c r="A82" s="4" t="s">
        <v>69</v>
      </c>
      <c r="C82" s="5">
        <f t="shared" ref="C82" si="13">C164</f>
        <v>10303</v>
      </c>
      <c r="D82" s="5">
        <f>D164</f>
        <v>7410</v>
      </c>
      <c r="E82" s="5">
        <f t="shared" ref="E82:O82" si="14">E164</f>
        <v>8232.68</v>
      </c>
      <c r="F82" s="5">
        <f t="shared" si="14"/>
        <v>8232.68</v>
      </c>
      <c r="G82" s="5">
        <f t="shared" si="14"/>
        <v>8382.68</v>
      </c>
      <c r="H82" s="5">
        <f t="shared" si="14"/>
        <v>8164.83</v>
      </c>
      <c r="I82" s="5">
        <f t="shared" si="14"/>
        <v>8669.83</v>
      </c>
      <c r="J82" s="5">
        <f t="shared" si="14"/>
        <v>8669.83</v>
      </c>
      <c r="K82" s="5">
        <f t="shared" si="14"/>
        <v>8555.26</v>
      </c>
      <c r="L82" s="5">
        <f t="shared" si="14"/>
        <v>8480.26</v>
      </c>
      <c r="M82" s="22">
        <f t="shared" si="14"/>
        <v>9000.26</v>
      </c>
      <c r="N82" s="5">
        <f t="shared" si="14"/>
        <v>9360.26</v>
      </c>
      <c r="O82" s="17">
        <f t="shared" si="14"/>
        <v>9590.7000000000007</v>
      </c>
      <c r="Q82" s="15"/>
      <c r="S82" s="63"/>
    </row>
    <row r="83" spans="1:19" s="4" customFormat="1">
      <c r="A83" s="4" t="s">
        <v>70</v>
      </c>
      <c r="C83" s="5">
        <v>9421</v>
      </c>
      <c r="D83" s="5">
        <f>D136</f>
        <v>7439.6</v>
      </c>
      <c r="E83" s="5">
        <f t="shared" ref="E83:O83" si="15">E136</f>
        <v>6677.1</v>
      </c>
      <c r="F83" s="5">
        <f t="shared" si="15"/>
        <v>6677.1</v>
      </c>
      <c r="G83" s="5">
        <f t="shared" si="15"/>
        <v>6677.1</v>
      </c>
      <c r="H83" s="5">
        <f t="shared" si="15"/>
        <v>6902.1</v>
      </c>
      <c r="I83" s="5">
        <f t="shared" si="15"/>
        <v>6902.1</v>
      </c>
      <c r="J83" s="5">
        <f t="shared" si="15"/>
        <v>8196.6</v>
      </c>
      <c r="K83" s="5">
        <f t="shared" si="15"/>
        <v>7996.6</v>
      </c>
      <c r="L83" s="5">
        <f t="shared" si="15"/>
        <v>7996.6</v>
      </c>
      <c r="M83" s="22">
        <f t="shared" si="15"/>
        <v>7996.6</v>
      </c>
      <c r="N83" s="5">
        <f t="shared" si="15"/>
        <v>7996.6</v>
      </c>
      <c r="O83" s="17">
        <f t="shared" si="15"/>
        <v>8118.3600000000006</v>
      </c>
      <c r="Q83" s="15"/>
      <c r="S83" s="63"/>
    </row>
    <row r="84" spans="1:19" s="4" customFormat="1">
      <c r="A84" s="4" t="s">
        <v>71</v>
      </c>
      <c r="C84" s="5">
        <v>14963.083333333299</v>
      </c>
      <c r="D84" s="5">
        <f>P11/12</f>
        <v>13755.083333333334</v>
      </c>
      <c r="E84" s="5">
        <f>P11/12</f>
        <v>13755.083333333334</v>
      </c>
      <c r="F84" s="5">
        <v>13755</v>
      </c>
      <c r="G84" s="5">
        <v>13755</v>
      </c>
      <c r="H84" s="5">
        <v>13755</v>
      </c>
      <c r="I84" s="5">
        <v>13755</v>
      </c>
      <c r="J84" s="5">
        <v>13755</v>
      </c>
      <c r="K84" s="5">
        <v>13755</v>
      </c>
      <c r="L84" s="5">
        <v>13755</v>
      </c>
      <c r="M84" s="22">
        <v>13755</v>
      </c>
      <c r="N84" s="5">
        <v>13755</v>
      </c>
      <c r="O84" s="5">
        <v>13755</v>
      </c>
      <c r="Q84" s="15"/>
      <c r="S84" s="63"/>
    </row>
    <row r="85" spans="1:19" s="4" customFormat="1">
      <c r="A85" s="6" t="s">
        <v>72</v>
      </c>
      <c r="B85" s="6"/>
      <c r="C85" s="2">
        <f t="shared" ref="C85:D85" si="16">IF(C81="",C80,C80-C81-C82-C83-C84)</f>
        <v>85470.016666666706</v>
      </c>
      <c r="D85" s="2">
        <f t="shared" si="16"/>
        <v>73263.516666666677</v>
      </c>
      <c r="E85" s="2">
        <f t="shared" ref="E85:O85" si="17">IF(E81="",E80,E80-E81-E82-E83-E84)</f>
        <v>73791.736666666649</v>
      </c>
      <c r="F85" s="2">
        <f t="shared" si="17"/>
        <v>68177.139999999985</v>
      </c>
      <c r="G85" s="2">
        <f t="shared" si="17"/>
        <v>59152.34</v>
      </c>
      <c r="H85" s="2">
        <f t="shared" si="17"/>
        <v>55445.789999999994</v>
      </c>
      <c r="I85" s="2">
        <f t="shared" si="17"/>
        <v>63218.58</v>
      </c>
      <c r="J85" s="2">
        <f t="shared" si="17"/>
        <v>79269.2</v>
      </c>
      <c r="K85" s="2">
        <f t="shared" si="17"/>
        <v>80197.37000000001</v>
      </c>
      <c r="L85" s="2">
        <f t="shared" si="17"/>
        <v>74267.87000000001</v>
      </c>
      <c r="M85" s="21">
        <f t="shared" si="17"/>
        <v>105247.39</v>
      </c>
      <c r="N85" s="2">
        <f t="shared" si="17"/>
        <v>105910.87000000001</v>
      </c>
      <c r="O85" s="16">
        <f t="shared" si="17"/>
        <v>104376.61000000002</v>
      </c>
      <c r="Q85" s="15"/>
      <c r="S85" s="63"/>
    </row>
    <row r="86" spans="1:19" s="4" customFormat="1">
      <c r="A86" s="6"/>
      <c r="B86" s="4" t="s">
        <v>73</v>
      </c>
      <c r="G86" s="4" t="s">
        <v>74</v>
      </c>
      <c r="M86" s="23"/>
      <c r="O86" s="17"/>
      <c r="Q86" s="15"/>
      <c r="S86" s="63"/>
    </row>
    <row r="87" spans="1:19" s="4" customFormat="1">
      <c r="A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22"/>
      <c r="N87" s="5"/>
      <c r="O87" s="17"/>
      <c r="P87" s="5"/>
      <c r="Q87" s="13"/>
      <c r="S87" s="63"/>
    </row>
    <row r="88" spans="1:19" s="4" customFormat="1">
      <c r="A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22"/>
      <c r="N88" s="5"/>
      <c r="O88" s="17"/>
      <c r="P88" s="5"/>
      <c r="Q88" s="13"/>
      <c r="S88" s="63"/>
    </row>
    <row r="89" spans="1:19" s="4" customFormat="1">
      <c r="A89" s="3" t="s">
        <v>75</v>
      </c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1"/>
      <c r="N89" s="2"/>
      <c r="O89" s="16"/>
      <c r="P89" s="2"/>
      <c r="Q89" s="13"/>
      <c r="S89" s="63"/>
    </row>
    <row r="90" spans="1:19" s="4" customFormat="1">
      <c r="C90" s="2" t="s">
        <v>11</v>
      </c>
      <c r="D90" s="2" t="s">
        <v>0</v>
      </c>
      <c r="E90" s="2" t="s">
        <v>1</v>
      </c>
      <c r="F90" s="2" t="s">
        <v>2</v>
      </c>
      <c r="G90" s="2" t="s">
        <v>3</v>
      </c>
      <c r="H90" s="2" t="s">
        <v>4</v>
      </c>
      <c r="I90" s="2" t="s">
        <v>5</v>
      </c>
      <c r="J90" s="2" t="s">
        <v>6</v>
      </c>
      <c r="K90" s="2" t="s">
        <v>7</v>
      </c>
      <c r="L90" s="2" t="s">
        <v>8</v>
      </c>
      <c r="M90" s="21" t="s">
        <v>9</v>
      </c>
      <c r="N90" s="2" t="s">
        <v>10</v>
      </c>
      <c r="O90" s="2" t="s">
        <v>11</v>
      </c>
      <c r="P90" s="5"/>
      <c r="Q90" s="13"/>
      <c r="S90" s="63"/>
    </row>
    <row r="91" spans="1:19" s="4" customFormat="1">
      <c r="A91" s="6" t="s">
        <v>76</v>
      </c>
      <c r="C91" s="2">
        <v>10918</v>
      </c>
      <c r="D91" s="2">
        <f t="shared" ref="D91" si="18">IF(AND(D93="",D92=""),"",C91+D93-D92)</f>
        <v>10918</v>
      </c>
      <c r="E91" s="2">
        <f t="shared" ref="E91" si="19">IF(AND(E93="",E92=""),"",D91+E93-E92)</f>
        <v>10918</v>
      </c>
      <c r="F91" s="2">
        <f t="shared" ref="F91" si="20">IF(AND(F93="",F92=""),"",E91+F93-F92)</f>
        <v>10918</v>
      </c>
      <c r="G91" s="2">
        <f t="shared" ref="G91" si="21">IF(AND(G93="",G92=""),"",F91+G93-G92)</f>
        <v>10918</v>
      </c>
      <c r="H91" s="2">
        <f t="shared" ref="H91" si="22">IF(AND(H93="",H92=""),"",G91+H93-H92)</f>
        <v>10918</v>
      </c>
      <c r="I91" s="2">
        <f t="shared" ref="I91" si="23">IF(AND(I93="",I92=""),"",H91+I93-I92)</f>
        <v>10918</v>
      </c>
      <c r="J91" s="2">
        <f t="shared" ref="J91" si="24">IF(AND(J93="",J92=""),"",I91+J93-J92)</f>
        <v>10918</v>
      </c>
      <c r="K91" s="2">
        <f t="shared" ref="K91" si="25">IF(AND(K93="",K92=""),"",J91+K93-K92)</f>
        <v>10918</v>
      </c>
      <c r="L91" s="2">
        <f t="shared" ref="L91" si="26">IF(AND(L93="",L92=""),"",K91+L93-L92)</f>
        <v>10918</v>
      </c>
      <c r="M91" s="21">
        <f t="shared" ref="M91" si="27">IF(AND(M93="",M92=""),"",L91+M93-M92)</f>
        <v>9023.82</v>
      </c>
      <c r="N91" s="2">
        <f t="shared" ref="N91" si="28">IF(AND(N93="",N92=""),"",M91+N93-N92)</f>
        <v>8689.16</v>
      </c>
      <c r="O91" s="16">
        <f t="shared" ref="O91" si="29">IF(AND(O93="",O92=""),"",N91+O93-O92)</f>
        <v>8689.16</v>
      </c>
      <c r="Q91" s="15"/>
      <c r="S91" s="63"/>
    </row>
    <row r="92" spans="1:19" s="4" customFormat="1">
      <c r="A92" s="4" t="s">
        <v>77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22">
        <v>1894.18</v>
      </c>
      <c r="N92" s="5">
        <v>334.66</v>
      </c>
      <c r="O92" s="17">
        <v>0</v>
      </c>
      <c r="P92" s="4">
        <f>SUM(D92:O92)</f>
        <v>2228.84</v>
      </c>
      <c r="Q92" s="15"/>
      <c r="S92" s="63"/>
    </row>
    <row r="93" spans="1:19" s="4" customFormat="1">
      <c r="A93" s="4" t="s">
        <v>78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22">
        <v>0</v>
      </c>
      <c r="N93" s="5">
        <v>0</v>
      </c>
      <c r="O93" s="17">
        <v>0</v>
      </c>
      <c r="Q93" s="15"/>
      <c r="S93" s="63"/>
    </row>
    <row r="94" spans="1:19" s="4" customFormat="1">
      <c r="A94" s="6" t="s">
        <v>79</v>
      </c>
      <c r="B94" s="6"/>
      <c r="C94" s="2">
        <v>91</v>
      </c>
      <c r="D94" s="2">
        <f t="shared" ref="D94" si="30">IF(AND(D96="",D95=""),"",C94+D96-D95)</f>
        <v>1661</v>
      </c>
      <c r="E94" s="2">
        <f t="shared" ref="E94" si="31">IF(AND(E96="",E95=""),"",D94+E96-E95)</f>
        <v>1661</v>
      </c>
      <c r="F94" s="2">
        <f t="shared" ref="F94" si="32">IF(AND(F96="",F95=""),"",E94+F96-F95)</f>
        <v>1661</v>
      </c>
      <c r="G94" s="2">
        <f t="shared" ref="G94" si="33">IF(AND(G96="",G95=""),"",F94+G96-G95)</f>
        <v>1661</v>
      </c>
      <c r="H94" s="2">
        <f t="shared" ref="H94" si="34">IF(AND(H96="",H95=""),"",G94+H96-H95)</f>
        <v>546.29</v>
      </c>
      <c r="I94" s="2">
        <f t="shared" ref="I94" si="35">IF(AND(I96="",I95=""),"",H94+I96-I95)</f>
        <v>1826.29</v>
      </c>
      <c r="J94" s="2">
        <f t="shared" ref="J94" si="36">IF(AND(J96="",J95=""),"",I94+J96-J95)</f>
        <v>3126.29</v>
      </c>
      <c r="K94" s="2">
        <f t="shared" ref="K94" si="37">IF(AND(K96="",K95=""),"",J94+K96-K95)</f>
        <v>3126.29</v>
      </c>
      <c r="L94" s="2">
        <f t="shared" ref="L94" si="38">IF(AND(L96="",L95=""),"",K94+L96-L95)</f>
        <v>3126.29</v>
      </c>
      <c r="M94" s="21">
        <f t="shared" ref="M94" si="39">IF(AND(M96="",M95=""),"",L94+M96-M95)</f>
        <v>3126.29</v>
      </c>
      <c r="N94" s="2">
        <f t="shared" ref="N94" si="40">IF(AND(N96="",N95=""),"",M94+N96-N95)</f>
        <v>3126.29</v>
      </c>
      <c r="O94" s="16">
        <f t="shared" ref="O94" si="41">IF(AND(O96="",O95=""),"",N94+O96-O95)</f>
        <v>3126.29</v>
      </c>
      <c r="Q94" s="15"/>
      <c r="S94" s="63"/>
    </row>
    <row r="95" spans="1:19" s="4" customFormat="1">
      <c r="A95" s="4" t="s">
        <v>77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1114.71</v>
      </c>
      <c r="I95" s="5">
        <v>0</v>
      </c>
      <c r="J95" s="5">
        <v>0</v>
      </c>
      <c r="K95" s="5">
        <v>0</v>
      </c>
      <c r="L95" s="5">
        <v>0</v>
      </c>
      <c r="M95" s="22">
        <v>0</v>
      </c>
      <c r="N95" s="5">
        <v>0</v>
      </c>
      <c r="O95" s="17">
        <v>0</v>
      </c>
      <c r="P95" s="4">
        <f>SUM(D95:O95)</f>
        <v>1114.71</v>
      </c>
      <c r="Q95" s="15"/>
      <c r="S95" s="63"/>
    </row>
    <row r="96" spans="1:19" s="4" customFormat="1">
      <c r="A96" s="4" t="s">
        <v>78</v>
      </c>
      <c r="C96" s="5">
        <v>0</v>
      </c>
      <c r="D96" s="5">
        <v>1570</v>
      </c>
      <c r="E96" s="5">
        <v>0</v>
      </c>
      <c r="F96" s="5">
        <v>0</v>
      </c>
      <c r="G96" s="5">
        <v>0</v>
      </c>
      <c r="H96" s="5">
        <v>0</v>
      </c>
      <c r="I96" s="5">
        <f>500+500+250+30</f>
        <v>1280</v>
      </c>
      <c r="J96" s="5">
        <v>1300</v>
      </c>
      <c r="K96" s="5">
        <v>0</v>
      </c>
      <c r="L96" s="5">
        <v>0</v>
      </c>
      <c r="M96" s="22">
        <v>0</v>
      </c>
      <c r="N96" s="5">
        <v>0</v>
      </c>
      <c r="O96" s="17">
        <v>0</v>
      </c>
      <c r="Q96" s="15"/>
      <c r="S96" s="63"/>
    </row>
    <row r="97" spans="1:19" s="4" customFormat="1">
      <c r="A97" s="6" t="s">
        <v>113</v>
      </c>
      <c r="B97" s="6"/>
      <c r="C97" s="2">
        <v>19641</v>
      </c>
      <c r="D97" s="2">
        <f t="shared" ref="D97" si="42">IF(AND(D99="",D98=""),"",C97+D99-D98)</f>
        <v>24428.82</v>
      </c>
      <c r="E97" s="2">
        <f t="shared" ref="E97" si="43">IF(AND(E99="",E98=""),"",D97+E99-E98)</f>
        <v>24428.82</v>
      </c>
      <c r="F97" s="2">
        <f t="shared" ref="F97" si="44">IF(AND(F99="",F98=""),"",E97+F99-F98)</f>
        <v>24428.82</v>
      </c>
      <c r="G97" s="2">
        <f t="shared" ref="G97" si="45">IF(AND(G99="",G98=""),"",F97+G99-G98)</f>
        <v>24428.82</v>
      </c>
      <c r="H97" s="2">
        <f t="shared" ref="H97" si="46">IF(AND(H99="",H98=""),"",G97+H99-H98)</f>
        <v>24428.82</v>
      </c>
      <c r="I97" s="2">
        <f t="shared" ref="I97" si="47">IF(AND(I99="",I98=""),"",H97+I99-I98)</f>
        <v>24428.82</v>
      </c>
      <c r="J97" s="2">
        <f t="shared" ref="J97" si="48">IF(AND(J99="",J98=""),"",I97+J99-J98)</f>
        <v>24428.82</v>
      </c>
      <c r="K97" s="2">
        <f t="shared" ref="K97" si="49">IF(AND(K99="",K98=""),"",J97+K99-K98)</f>
        <v>24428.82</v>
      </c>
      <c r="L97" s="2">
        <f t="shared" ref="L97" si="50">IF(AND(L99="",L98=""),"",K97+L99-L98)</f>
        <v>24428.82</v>
      </c>
      <c r="M97" s="21">
        <f t="shared" ref="M97" si="51">IF(AND(M99="",M98=""),"",L97+M99-M98)</f>
        <v>24428.82</v>
      </c>
      <c r="N97" s="2">
        <f t="shared" ref="N97" si="52">IF(AND(N99="",N98=""),"",M97+N99-N98)</f>
        <v>24428.82</v>
      </c>
      <c r="O97" s="16">
        <f t="shared" ref="O97" si="53">IF(AND(O99="",O98=""),"",N97+O99-O98)</f>
        <v>24428.82</v>
      </c>
      <c r="Q97" s="15"/>
      <c r="S97" s="63"/>
    </row>
    <row r="98" spans="1:19" s="4" customFormat="1">
      <c r="A98" s="4" t="s">
        <v>77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22">
        <v>0</v>
      </c>
      <c r="N98" s="5">
        <v>0</v>
      </c>
      <c r="O98" s="17">
        <v>0</v>
      </c>
      <c r="P98" s="4">
        <f>SUM(D98:O98)</f>
        <v>0</v>
      </c>
      <c r="Q98" s="15"/>
      <c r="S98" s="63"/>
    </row>
    <row r="99" spans="1:19" s="4" customFormat="1">
      <c r="A99" s="4" t="s">
        <v>78</v>
      </c>
      <c r="C99" s="5">
        <v>0</v>
      </c>
      <c r="D99" s="5">
        <v>4787.82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22">
        <v>0</v>
      </c>
      <c r="N99" s="5">
        <v>0</v>
      </c>
      <c r="O99" s="17">
        <v>0</v>
      </c>
      <c r="Q99" s="15"/>
      <c r="S99" s="63"/>
    </row>
    <row r="100" spans="1:19" s="4" customFormat="1">
      <c r="A100" s="3" t="s">
        <v>80</v>
      </c>
      <c r="C100" s="2">
        <v>7569</v>
      </c>
      <c r="D100" s="2">
        <f t="shared" ref="D100" si="54">IF(AND(D102="",D101=""),"",C100+D102-D101)</f>
        <v>7569</v>
      </c>
      <c r="E100" s="2">
        <f t="shared" ref="E100" si="55">IF(AND(E102="",E101=""),"",D100+E102-E101)</f>
        <v>6610.07</v>
      </c>
      <c r="F100" s="2">
        <f t="shared" ref="F100" si="56">IF(AND(F102="",F101=""),"",E100+F102-F101)</f>
        <v>6610.07</v>
      </c>
      <c r="G100" s="2">
        <f t="shared" ref="G100" si="57">IF(AND(G102="",G101=""),"",F100+G102-G101)</f>
        <v>6610.07</v>
      </c>
      <c r="H100" s="2">
        <f t="shared" ref="H100" si="58">IF(AND(H102="",H101=""),"",G100+H102-H101)</f>
        <v>6610.07</v>
      </c>
      <c r="I100" s="2">
        <f t="shared" ref="I100" si="59">IF(AND(I102="",I101=""),"",H100+I102-I101)</f>
        <v>6610.07</v>
      </c>
      <c r="J100" s="2">
        <f t="shared" ref="J100" si="60">IF(AND(J102="",J101=""),"",I100+J102-J101)</f>
        <v>6610.07</v>
      </c>
      <c r="K100" s="2">
        <f t="shared" ref="K100" si="61">IF(AND(K102="",K101=""),"",J100+K102-K101)</f>
        <v>6610.07</v>
      </c>
      <c r="L100" s="2">
        <f t="shared" ref="L100" si="62">IF(AND(L102="",L101=""),"",K100+L102-L101)</f>
        <v>6610.07</v>
      </c>
      <c r="M100" s="21">
        <f t="shared" ref="M100" si="63">IF(AND(M102="",M101=""),"",L100+M102-M101)</f>
        <v>6610.07</v>
      </c>
      <c r="N100" s="2">
        <f t="shared" ref="N100" si="64">IF(AND(N102="",N101=""),"",M100+N102-N101)</f>
        <v>6610.07</v>
      </c>
      <c r="O100" s="16">
        <f t="shared" ref="O100" si="65">IF(AND(O102="",O101=""),"",N100+O102-O101)</f>
        <v>6610.07</v>
      </c>
      <c r="Q100" s="15"/>
      <c r="S100" s="63"/>
    </row>
    <row r="101" spans="1:19" s="4" customFormat="1">
      <c r="A101" s="4" t="s">
        <v>77</v>
      </c>
      <c r="C101" s="5">
        <v>0</v>
      </c>
      <c r="D101" s="5">
        <v>0</v>
      </c>
      <c r="E101" s="5">
        <v>958.93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22">
        <v>0</v>
      </c>
      <c r="N101" s="5">
        <v>0</v>
      </c>
      <c r="O101" s="17">
        <v>0</v>
      </c>
      <c r="P101" s="4">
        <f>SUM(D101:O101)</f>
        <v>958.93</v>
      </c>
      <c r="Q101" s="15"/>
      <c r="S101" s="63"/>
    </row>
    <row r="102" spans="1:19" s="4" customFormat="1">
      <c r="A102" s="4" t="s">
        <v>78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22">
        <v>0</v>
      </c>
      <c r="N102" s="5">
        <v>0</v>
      </c>
      <c r="O102" s="17">
        <v>0</v>
      </c>
      <c r="Q102" s="15"/>
      <c r="S102" s="63"/>
    </row>
    <row r="103" spans="1:19" s="4" customFormat="1">
      <c r="A103" s="3" t="s">
        <v>105</v>
      </c>
      <c r="C103" s="18">
        <v>0</v>
      </c>
      <c r="D103" s="2">
        <f t="shared" ref="D103" si="66">IF(AND(D105="",D104=""),"",C103+D105-D104)</f>
        <v>500</v>
      </c>
      <c r="E103" s="2">
        <f t="shared" ref="E103" si="67">IF(AND(E105="",E104=""),"",D103+E105-E104)</f>
        <v>500</v>
      </c>
      <c r="F103" s="2">
        <f t="shared" ref="F103" si="68">IF(AND(F105="",F104=""),"",E103+F105-F104)</f>
        <v>500</v>
      </c>
      <c r="G103" s="2">
        <f t="shared" ref="G103" si="69">IF(AND(G105="",G104=""),"",F103+G105-G104)</f>
        <v>500</v>
      </c>
      <c r="H103" s="2">
        <f t="shared" ref="H103" si="70">IF(AND(H105="",H104=""),"",G103+H105-H104)</f>
        <v>500</v>
      </c>
      <c r="I103" s="2">
        <f t="shared" ref="I103" si="71">IF(AND(I105="",I104=""),"",H103+I105-I104)</f>
        <v>500</v>
      </c>
      <c r="J103" s="2">
        <f t="shared" ref="J103" si="72">IF(AND(J105="",J104=""),"",I103+J105-J104)</f>
        <v>500</v>
      </c>
      <c r="K103" s="2">
        <f t="shared" ref="K103" si="73">IF(AND(K105="",K104=""),"",J103+K105-K104)</f>
        <v>500</v>
      </c>
      <c r="L103" s="2">
        <f t="shared" ref="L103" si="74">IF(AND(L105="",L104=""),"",K103+L105-L104)</f>
        <v>500</v>
      </c>
      <c r="M103" s="21">
        <f t="shared" ref="M103" si="75">IF(AND(M105="",M104=""),"",L103+M105-M104)</f>
        <v>500</v>
      </c>
      <c r="N103" s="2">
        <f t="shared" ref="N103" si="76">IF(AND(N105="",N104=""),"",M103+N105-N104)</f>
        <v>500</v>
      </c>
      <c r="O103" s="16">
        <f t="shared" ref="O103" si="77">IF(AND(O105="",O104=""),"",N103+O105-O104)</f>
        <v>923</v>
      </c>
      <c r="P103" s="5"/>
      <c r="Q103" s="13"/>
      <c r="S103" s="63"/>
    </row>
    <row r="104" spans="1:19" s="4" customFormat="1">
      <c r="A104" s="4" t="s">
        <v>77</v>
      </c>
      <c r="C104" s="19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22">
        <v>0</v>
      </c>
      <c r="N104" s="5">
        <v>0</v>
      </c>
      <c r="O104" s="17">
        <v>0</v>
      </c>
      <c r="P104" s="4">
        <f>SUM(D104:O104)</f>
        <v>0</v>
      </c>
      <c r="Q104" s="13"/>
      <c r="S104" s="63"/>
    </row>
    <row r="105" spans="1:19" s="4" customFormat="1">
      <c r="A105" s="4" t="s">
        <v>78</v>
      </c>
      <c r="C105" s="20">
        <v>0</v>
      </c>
      <c r="D105" s="5">
        <v>500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22">
        <v>0</v>
      </c>
      <c r="N105" s="5">
        <v>0</v>
      </c>
      <c r="O105" s="17">
        <v>423</v>
      </c>
      <c r="P105" s="5"/>
      <c r="Q105" s="13"/>
      <c r="S105" s="63"/>
    </row>
    <row r="106" spans="1:19" s="4" customFormat="1">
      <c r="A106" s="6" t="s">
        <v>12</v>
      </c>
      <c r="C106" s="2">
        <f>C91+C94+C97+C100+C103</f>
        <v>38219</v>
      </c>
      <c r="D106" s="2">
        <f t="shared" ref="D106:O106" si="78">D91+D94+D97+D100+D103</f>
        <v>45076.82</v>
      </c>
      <c r="E106" s="2">
        <f t="shared" si="78"/>
        <v>44117.89</v>
      </c>
      <c r="F106" s="2">
        <f t="shared" si="78"/>
        <v>44117.89</v>
      </c>
      <c r="G106" s="2">
        <f t="shared" si="78"/>
        <v>44117.89</v>
      </c>
      <c r="H106" s="2">
        <f t="shared" si="78"/>
        <v>43003.18</v>
      </c>
      <c r="I106" s="2">
        <f t="shared" si="78"/>
        <v>44283.18</v>
      </c>
      <c r="J106" s="2">
        <f t="shared" si="78"/>
        <v>45583.18</v>
      </c>
      <c r="K106" s="2">
        <f t="shared" si="78"/>
        <v>45583.18</v>
      </c>
      <c r="L106" s="2">
        <f t="shared" si="78"/>
        <v>45583.18</v>
      </c>
      <c r="M106" s="21">
        <f t="shared" si="78"/>
        <v>43689</v>
      </c>
      <c r="N106" s="2">
        <f t="shared" si="78"/>
        <v>43354.340000000004</v>
      </c>
      <c r="O106" s="16">
        <f t="shared" si="78"/>
        <v>43777.340000000004</v>
      </c>
      <c r="Q106" s="15"/>
      <c r="S106" s="63"/>
    </row>
    <row r="107" spans="1:19" s="4" customFormat="1">
      <c r="A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1"/>
      <c r="N107" s="2"/>
      <c r="O107" s="16"/>
      <c r="P107" s="5"/>
      <c r="Q107" s="13"/>
      <c r="S107" s="63"/>
    </row>
    <row r="108" spans="1:19" s="4" customFormat="1">
      <c r="A108" s="3" t="s">
        <v>81</v>
      </c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1"/>
      <c r="N108" s="2"/>
      <c r="O108" s="16"/>
      <c r="P108" s="5"/>
      <c r="Q108" s="13"/>
      <c r="S108" s="63"/>
    </row>
    <row r="109" spans="1:19" s="4" customFormat="1">
      <c r="A109" s="3" t="s">
        <v>82</v>
      </c>
      <c r="B109" s="6"/>
      <c r="C109" s="2">
        <v>786</v>
      </c>
      <c r="D109" s="2">
        <f t="shared" ref="D109" si="79">IF(AND(D111="",D110=""),"",C109+D111-D110)</f>
        <v>786</v>
      </c>
      <c r="E109" s="2">
        <f t="shared" ref="E109" si="80">IF(AND(E111="",E110=""),"",D109+E111-E110)</f>
        <v>786</v>
      </c>
      <c r="F109" s="2">
        <f t="shared" ref="F109" si="81">IF(AND(F111="",F110=""),"",E109+F111-F110)</f>
        <v>786</v>
      </c>
      <c r="G109" s="2">
        <f t="shared" ref="G109" si="82">IF(AND(G111="",G110=""),"",F109+G111-G110)</f>
        <v>786</v>
      </c>
      <c r="H109" s="2">
        <f t="shared" ref="H109" si="83">IF(AND(H111="",H110=""),"",G109+H111-H110)</f>
        <v>786</v>
      </c>
      <c r="I109" s="2">
        <f t="shared" ref="I109" si="84">IF(AND(I111="",I110=""),"",H109+I111-I110)</f>
        <v>786</v>
      </c>
      <c r="J109" s="2">
        <f t="shared" ref="J109" si="85">IF(AND(J111="",J110=""),"",I109+J111-J110)</f>
        <v>786</v>
      </c>
      <c r="K109" s="2">
        <f t="shared" ref="K109" si="86">IF(AND(K111="",K110=""),"",J109+K111-K110)</f>
        <v>786</v>
      </c>
      <c r="L109" s="2">
        <f t="shared" ref="L109" si="87">IF(AND(L111="",L110=""),"",K109+L111-L110)</f>
        <v>786</v>
      </c>
      <c r="M109" s="21">
        <f t="shared" ref="M109" si="88">IF(AND(M111="",M110=""),"",L109+M111-M110)</f>
        <v>786</v>
      </c>
      <c r="N109" s="2">
        <f t="shared" ref="N109" si="89">IF(AND(N111="",N110=""),"",M109+N111-N110)</f>
        <v>786</v>
      </c>
      <c r="O109" s="16">
        <f t="shared" ref="O109" si="90">IF(AND(O111="",O110=""),"",N109+O111-O110)</f>
        <v>786</v>
      </c>
      <c r="Q109" s="15"/>
      <c r="S109" s="63"/>
    </row>
    <row r="110" spans="1:19" s="4" customFormat="1">
      <c r="A110" s="4" t="s">
        <v>77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22">
        <v>0</v>
      </c>
      <c r="N110" s="5">
        <v>0</v>
      </c>
      <c r="O110" s="17">
        <v>0</v>
      </c>
      <c r="Q110" s="15"/>
      <c r="S110" s="63"/>
    </row>
    <row r="111" spans="1:19" s="4" customFormat="1">
      <c r="A111" s="4" t="s">
        <v>78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22">
        <v>0</v>
      </c>
      <c r="N111" s="5">
        <v>0</v>
      </c>
      <c r="O111" s="17">
        <v>0</v>
      </c>
      <c r="Q111" s="15"/>
      <c r="S111" s="63"/>
    </row>
    <row r="112" spans="1:19" s="4" customFormat="1">
      <c r="A112" s="3" t="s">
        <v>83</v>
      </c>
      <c r="C112" s="2">
        <v>986</v>
      </c>
      <c r="D112" s="2">
        <f t="shared" ref="D112" si="91">IF(AND(D114="",D113=""),"",C112+D114-D113)</f>
        <v>986</v>
      </c>
      <c r="E112" s="2">
        <f t="shared" ref="E112" si="92">IF(AND(E114="",E113=""),"",D112+E114-E113)</f>
        <v>986</v>
      </c>
      <c r="F112" s="2">
        <f t="shared" ref="F112" si="93">IF(AND(F114="",F113=""),"",E112+F114-F113)</f>
        <v>986</v>
      </c>
      <c r="G112" s="2">
        <f t="shared" ref="G112" si="94">IF(AND(G114="",G113=""),"",F112+G114-G113)</f>
        <v>986</v>
      </c>
      <c r="H112" s="2">
        <f t="shared" ref="H112" si="95">IF(AND(H114="",H113=""),"",G112+H114-H113)</f>
        <v>986</v>
      </c>
      <c r="I112" s="2">
        <f t="shared" ref="I112" si="96">IF(AND(I114="",I113=""),"",H112+I114-I113)</f>
        <v>986</v>
      </c>
      <c r="J112" s="2">
        <f t="shared" ref="J112" si="97">IF(AND(J114="",J113=""),"",I112+J114-J113)</f>
        <v>986</v>
      </c>
      <c r="K112" s="2">
        <f t="shared" ref="K112" si="98">IF(AND(K114="",K113=""),"",J112+K114-K113)</f>
        <v>986</v>
      </c>
      <c r="L112" s="2">
        <f t="shared" ref="L112" si="99">IF(AND(L114="",L113=""),"",K112+L114-L113)</f>
        <v>986</v>
      </c>
      <c r="M112" s="21">
        <f t="shared" ref="M112" si="100">IF(AND(M114="",M113=""),"",L112+M114-M113)</f>
        <v>986</v>
      </c>
      <c r="N112" s="2">
        <f t="shared" ref="N112" si="101">IF(AND(N114="",N113=""),"",M112+N114-N113)</f>
        <v>986</v>
      </c>
      <c r="O112" s="16">
        <f t="shared" ref="O112" si="102">IF(AND(O114="",O113=""),"",N112+O114-O113)</f>
        <v>986</v>
      </c>
      <c r="Q112" s="15"/>
      <c r="S112" s="63"/>
    </row>
    <row r="113" spans="1:19" s="4" customFormat="1">
      <c r="A113" s="4" t="s">
        <v>77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22">
        <v>0</v>
      </c>
      <c r="N113" s="5">
        <v>0</v>
      </c>
      <c r="O113" s="17">
        <v>0</v>
      </c>
      <c r="Q113" s="15"/>
      <c r="S113" s="63"/>
    </row>
    <row r="114" spans="1:19" s="4" customFormat="1">
      <c r="A114" s="4" t="s">
        <v>78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22">
        <v>0</v>
      </c>
      <c r="N114" s="5">
        <v>0</v>
      </c>
      <c r="O114" s="17">
        <v>0</v>
      </c>
      <c r="Q114" s="15"/>
      <c r="S114" s="63"/>
    </row>
    <row r="115" spans="1:19" s="3" customFormat="1">
      <c r="A115" s="3" t="s">
        <v>102</v>
      </c>
      <c r="C115" s="2">
        <v>71</v>
      </c>
      <c r="D115" s="2">
        <f t="shared" ref="D115" si="103">IF(AND(D117="",D116=""),"",C115+D117-D116)</f>
        <v>71</v>
      </c>
      <c r="E115" s="2">
        <f t="shared" ref="E115" si="104">IF(AND(E117="",E116=""),"",D115+E117-E116)</f>
        <v>71</v>
      </c>
      <c r="F115" s="2">
        <f t="shared" ref="F115" si="105">IF(AND(F117="",F116=""),"",E115+F117-F116)</f>
        <v>71</v>
      </c>
      <c r="G115" s="2">
        <f t="shared" ref="G115" si="106">IF(AND(G117="",G116=""),"",F115+G117-G116)</f>
        <v>71</v>
      </c>
      <c r="H115" s="2">
        <f t="shared" ref="H115" si="107">IF(AND(H117="",H116=""),"",G115+H117-H116)</f>
        <v>71</v>
      </c>
      <c r="I115" s="2">
        <f t="shared" ref="I115" si="108">IF(AND(I117="",I116=""),"",H115+I117-I116)</f>
        <v>71</v>
      </c>
      <c r="J115" s="2">
        <f t="shared" ref="J115" si="109">IF(AND(J117="",J116=""),"",I115+J117-J116)</f>
        <v>71</v>
      </c>
      <c r="K115" s="2">
        <f t="shared" ref="K115" si="110">IF(AND(K117="",K116=""),"",J115+K117-K116)</f>
        <v>71</v>
      </c>
      <c r="L115" s="2">
        <f t="shared" ref="L115" si="111">IF(AND(L117="",L116=""),"",K115+L117-L116)</f>
        <v>71</v>
      </c>
      <c r="M115" s="21">
        <f t="shared" ref="M115" si="112">IF(AND(M117="",M116=""),"",L115+M117-M116)</f>
        <v>71</v>
      </c>
      <c r="N115" s="2">
        <f t="shared" ref="N115" si="113">IF(AND(N117="",N116=""),"",M115+N117-N116)</f>
        <v>71</v>
      </c>
      <c r="O115" s="16">
        <f t="shared" ref="O115" si="114">IF(AND(O117="",O116=""),"",N115+O117-O116)</f>
        <v>71</v>
      </c>
      <c r="Q115" s="14"/>
      <c r="S115" s="64"/>
    </row>
    <row r="116" spans="1:19" s="4" customFormat="1">
      <c r="A116" s="9" t="s">
        <v>84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22">
        <v>0</v>
      </c>
      <c r="N116" s="5">
        <v>0</v>
      </c>
      <c r="O116" s="17">
        <v>0</v>
      </c>
      <c r="Q116" s="15"/>
      <c r="S116" s="63"/>
    </row>
    <row r="117" spans="1:19" s="4" customFormat="1">
      <c r="A117" s="9" t="s">
        <v>85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22">
        <v>0</v>
      </c>
      <c r="N117" s="5">
        <v>0</v>
      </c>
      <c r="O117" s="17">
        <v>0</v>
      </c>
      <c r="Q117" s="15"/>
      <c r="S117" s="63"/>
    </row>
    <row r="118" spans="1:19" s="3" customFormat="1">
      <c r="A118" s="3" t="s">
        <v>86</v>
      </c>
      <c r="C118" s="2">
        <v>1528</v>
      </c>
      <c r="D118" s="2">
        <f t="shared" ref="D118" si="115">IF(AND(D120="",D119=""),"",C118+D120-D119)</f>
        <v>1321.03</v>
      </c>
      <c r="E118" s="2">
        <f t="shared" ref="E118" si="116">IF(AND(E120="",E119=""),"",D118+E120-E119)</f>
        <v>558.53</v>
      </c>
      <c r="F118" s="2">
        <f t="shared" ref="F118" si="117">IF(AND(F120="",F119=""),"",E118+F120-F119)</f>
        <v>558.53</v>
      </c>
      <c r="G118" s="2">
        <f t="shared" ref="G118" si="118">IF(AND(G120="",G119=""),"",F118+G120-G119)</f>
        <v>558.53</v>
      </c>
      <c r="H118" s="2">
        <f t="shared" ref="H118" si="119">IF(AND(H120="",H119=""),"",G118+H120-H119)</f>
        <v>558.53</v>
      </c>
      <c r="I118" s="2">
        <f t="shared" ref="I118" si="120">IF(AND(I120="",I119=""),"",H118+I120-I119)</f>
        <v>558.53</v>
      </c>
      <c r="J118" s="2">
        <f t="shared" ref="J118" si="121">IF(AND(J120="",J119=""),"",I118+J120-J119)</f>
        <v>558.53</v>
      </c>
      <c r="K118" s="2">
        <f t="shared" ref="K118" si="122">IF(AND(K120="",K119=""),"",J118+K120-K119)</f>
        <v>558.53</v>
      </c>
      <c r="L118" s="2">
        <f t="shared" ref="L118" si="123">IF(AND(L120="",L119=""),"",K118+L120-L119)</f>
        <v>558.53</v>
      </c>
      <c r="M118" s="21">
        <f t="shared" ref="M118" si="124">IF(AND(M120="",M119=""),"",L118+M120-M119)</f>
        <v>558.53</v>
      </c>
      <c r="N118" s="2">
        <f t="shared" ref="N118" si="125">IF(AND(N120="",N119=""),"",M118+N120-N119)</f>
        <v>558.53</v>
      </c>
      <c r="O118" s="16">
        <f t="shared" ref="O118" si="126">IF(AND(O120="",O119=""),"",N118+O120-O119)</f>
        <v>558.53</v>
      </c>
      <c r="Q118" s="14"/>
      <c r="S118" s="64"/>
    </row>
    <row r="119" spans="1:19" s="4" customFormat="1">
      <c r="A119" s="9" t="s">
        <v>84</v>
      </c>
      <c r="C119" s="5">
        <v>0</v>
      </c>
      <c r="D119" s="5">
        <v>206.97</v>
      </c>
      <c r="E119" s="5">
        <v>762.5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22">
        <v>0</v>
      </c>
      <c r="N119" s="5">
        <v>0</v>
      </c>
      <c r="O119" s="17">
        <v>0</v>
      </c>
      <c r="Q119" s="15"/>
      <c r="S119" s="63"/>
    </row>
    <row r="120" spans="1:19" s="4" customFormat="1">
      <c r="A120" s="9" t="s">
        <v>85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22">
        <v>0</v>
      </c>
      <c r="N120" s="5">
        <v>0</v>
      </c>
      <c r="O120" s="17">
        <v>0</v>
      </c>
      <c r="Q120" s="15"/>
      <c r="S120" s="63"/>
    </row>
    <row r="121" spans="1:19" s="4" customFormat="1">
      <c r="A121" s="3" t="s">
        <v>87</v>
      </c>
      <c r="C121" s="2">
        <v>2844</v>
      </c>
      <c r="D121" s="2">
        <f t="shared" ref="D121" si="127">IF(AND(D123="",D122=""),"",C121+D123-D122)</f>
        <v>2506.5700000000002</v>
      </c>
      <c r="E121" s="2">
        <f t="shared" ref="E121" si="128">IF(AND(E123="",E122=""),"",D121+E123-E122)</f>
        <v>2506.5700000000002</v>
      </c>
      <c r="F121" s="2">
        <f t="shared" ref="F121" si="129">IF(AND(F123="",F122=""),"",E121+F123-F122)</f>
        <v>2506.5700000000002</v>
      </c>
      <c r="G121" s="2">
        <f t="shared" ref="G121" si="130">IF(AND(G123="",G122=""),"",F121+G123-G122)</f>
        <v>2506.5700000000002</v>
      </c>
      <c r="H121" s="2">
        <f t="shared" ref="H121" si="131">IF(AND(H123="",H122=""),"",G121+H123-H122)</f>
        <v>2606.5700000000002</v>
      </c>
      <c r="I121" s="2">
        <f t="shared" ref="I121" si="132">IF(AND(I123="",I122=""),"",H121+I123-I122)</f>
        <v>2606.5700000000002</v>
      </c>
      <c r="J121" s="2">
        <f t="shared" ref="J121" si="133">IF(AND(J123="",J122=""),"",I121+J123-J122)</f>
        <v>2606.5700000000002</v>
      </c>
      <c r="K121" s="2">
        <f t="shared" ref="K121" si="134">IF(AND(K123="",K122=""),"",J121+K123-K122)</f>
        <v>2606.5700000000002</v>
      </c>
      <c r="L121" s="2">
        <f t="shared" ref="L121" si="135">IF(AND(L123="",L122=""),"",K121+L123-L122)</f>
        <v>2606.5700000000002</v>
      </c>
      <c r="M121" s="21">
        <f t="shared" ref="M121" si="136">IF(AND(M123="",M122=""),"",L121+M123-M122)</f>
        <v>2606.5700000000002</v>
      </c>
      <c r="N121" s="2">
        <f t="shared" ref="N121" si="137">IF(AND(N123="",N122=""),"",M121+N123-N122)</f>
        <v>2606.5700000000002</v>
      </c>
      <c r="O121" s="16">
        <f t="shared" ref="O121" si="138">IF(AND(O123="",O122=""),"",N121+O123-O122)</f>
        <v>2551.8300000000004</v>
      </c>
      <c r="Q121" s="15"/>
      <c r="S121" s="63"/>
    </row>
    <row r="122" spans="1:19" s="4" customFormat="1">
      <c r="A122" s="4" t="s">
        <v>77</v>
      </c>
      <c r="C122" s="5">
        <v>0</v>
      </c>
      <c r="D122" s="5">
        <v>337.43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22">
        <v>0</v>
      </c>
      <c r="N122" s="5">
        <v>0</v>
      </c>
      <c r="O122" s="17">
        <v>54.74</v>
      </c>
      <c r="Q122" s="15"/>
      <c r="S122" s="63"/>
    </row>
    <row r="123" spans="1:19" s="4" customFormat="1">
      <c r="A123" s="4" t="s">
        <v>78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100</v>
      </c>
      <c r="I123" s="5">
        <v>0</v>
      </c>
      <c r="J123" s="5">
        <v>0</v>
      </c>
      <c r="K123" s="5">
        <v>0</v>
      </c>
      <c r="L123" s="5">
        <v>0</v>
      </c>
      <c r="M123" s="22">
        <v>0</v>
      </c>
      <c r="N123" s="5">
        <v>0</v>
      </c>
      <c r="O123" s="17">
        <v>0</v>
      </c>
      <c r="Q123" s="15"/>
      <c r="S123" s="63"/>
    </row>
    <row r="124" spans="1:19" s="4" customFormat="1">
      <c r="A124" s="3" t="s">
        <v>88</v>
      </c>
      <c r="C124" s="2">
        <v>224</v>
      </c>
      <c r="D124" s="2">
        <f t="shared" ref="D124" si="139">IF(AND(D126="",D125=""),"",C124+D126-D125)</f>
        <v>224</v>
      </c>
      <c r="E124" s="2">
        <f t="shared" ref="E124" si="140">IF(AND(E126="",E125=""),"",D124+E126-E125)</f>
        <v>224</v>
      </c>
      <c r="F124" s="2">
        <f t="shared" ref="F124" si="141">IF(AND(F126="",F125=""),"",E124+F126-F125)</f>
        <v>224</v>
      </c>
      <c r="G124" s="2">
        <f t="shared" ref="G124" si="142">IF(AND(G126="",G125=""),"",F124+G126-G125)</f>
        <v>224</v>
      </c>
      <c r="H124" s="2">
        <f t="shared" ref="H124" si="143">IF(AND(H126="",H125=""),"",G124+H126-H125)</f>
        <v>224</v>
      </c>
      <c r="I124" s="2">
        <f t="shared" ref="I124" si="144">IF(AND(I126="",I125=""),"",H124+I126-I125)</f>
        <v>224</v>
      </c>
      <c r="J124" s="2">
        <f t="shared" ref="J124" si="145">IF(AND(J126="",J125=""),"",I124+J126-J125)</f>
        <v>224</v>
      </c>
      <c r="K124" s="2">
        <f>IF(AND(K126="",K125=""),"",J124+K126-K125)</f>
        <v>24</v>
      </c>
      <c r="L124" s="2">
        <f t="shared" ref="L124" si="146">IF(AND(L126="",L125=""),"",K124+L126-L125)</f>
        <v>24</v>
      </c>
      <c r="M124" s="21">
        <f t="shared" ref="M124" si="147">IF(AND(M126="",M125=""),"",L124+M126-M125)</f>
        <v>24</v>
      </c>
      <c r="N124" s="2">
        <f t="shared" ref="N124" si="148">IF(AND(N126="",N125=""),"",M124+N126-N125)</f>
        <v>24</v>
      </c>
      <c r="O124" s="16">
        <f t="shared" ref="O124" si="149">IF(AND(O126="",O125=""),"",N124+O126-O125)</f>
        <v>75.5</v>
      </c>
      <c r="Q124" s="15"/>
      <c r="S124" s="63"/>
    </row>
    <row r="125" spans="1:19" s="4" customFormat="1">
      <c r="A125" s="4" t="s">
        <v>77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200</v>
      </c>
      <c r="L125" s="5">
        <v>0</v>
      </c>
      <c r="M125" s="22">
        <v>0</v>
      </c>
      <c r="N125" s="5">
        <v>0</v>
      </c>
      <c r="O125" s="17">
        <v>0</v>
      </c>
      <c r="Q125" s="15"/>
      <c r="S125" s="63"/>
    </row>
    <row r="126" spans="1:19" s="4" customFormat="1">
      <c r="A126" s="4" t="s">
        <v>78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22">
        <v>0</v>
      </c>
      <c r="N126" s="5">
        <v>0</v>
      </c>
      <c r="O126" s="17">
        <v>51.5</v>
      </c>
      <c r="Q126" s="15"/>
      <c r="S126" s="63"/>
    </row>
    <row r="127" spans="1:19" s="3" customFormat="1">
      <c r="A127" s="3" t="s">
        <v>90</v>
      </c>
      <c r="C127" s="2">
        <v>1089</v>
      </c>
      <c r="D127" s="2">
        <f t="shared" ref="D127" si="150">IF(AND(D129="",D128=""),"",C127+D129-D128)</f>
        <v>1089</v>
      </c>
      <c r="E127" s="2">
        <f t="shared" ref="E127" si="151">IF(AND(E129="",E128=""),"",D127+E129-E128)</f>
        <v>1089</v>
      </c>
      <c r="F127" s="2">
        <f t="shared" ref="F127" si="152">IF(AND(F129="",F128=""),"",E127+F129-F128)</f>
        <v>1089</v>
      </c>
      <c r="G127" s="2">
        <f t="shared" ref="G127" si="153">IF(AND(G129="",G128=""),"",F127+G129-G128)</f>
        <v>1089</v>
      </c>
      <c r="H127" s="2">
        <f t="shared" ref="H127" si="154">IF(AND(H129="",H128=""),"",G127+H129-H128)</f>
        <v>1089</v>
      </c>
      <c r="I127" s="2">
        <f t="shared" ref="I127" si="155">IF(AND(I129="",I128=""),"",H127+I129-I128)</f>
        <v>1089</v>
      </c>
      <c r="J127" s="2">
        <f t="shared" ref="J127" si="156">IF(AND(J129="",J128=""),"",I127+J129-J128)</f>
        <v>1209</v>
      </c>
      <c r="K127" s="2">
        <f t="shared" ref="K127" si="157">IF(AND(K129="",K128=""),"",J127+K129-K128)</f>
        <v>1209</v>
      </c>
      <c r="L127" s="2">
        <f t="shared" ref="L127" si="158">IF(AND(L129="",L128=""),"",K127+L129-L128)</f>
        <v>1209</v>
      </c>
      <c r="M127" s="21">
        <f t="shared" ref="M127" si="159">IF(AND(M129="",M128=""),"",L127+M129-M128)</f>
        <v>1209</v>
      </c>
      <c r="N127" s="2">
        <f t="shared" ref="N127" si="160">IF(AND(N129="",N128=""),"",M127+N129-N128)</f>
        <v>1209</v>
      </c>
      <c r="O127" s="16">
        <f t="shared" ref="O127" si="161">IF(AND(O129="",O128=""),"",N127+O129-O128)</f>
        <v>1209</v>
      </c>
      <c r="Q127" s="14"/>
      <c r="S127" s="64"/>
    </row>
    <row r="128" spans="1:19" s="4" customFormat="1">
      <c r="A128" s="4" t="s">
        <v>77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22">
        <v>0</v>
      </c>
      <c r="N128" s="5">
        <v>0</v>
      </c>
      <c r="O128" s="17">
        <v>0</v>
      </c>
      <c r="Q128" s="15"/>
      <c r="S128" s="63"/>
    </row>
    <row r="129" spans="1:19" s="4" customFormat="1">
      <c r="A129" s="4" t="s">
        <v>78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120</v>
      </c>
      <c r="K129" s="5">
        <v>0</v>
      </c>
      <c r="L129" s="5">
        <v>0</v>
      </c>
      <c r="M129" s="22">
        <v>0</v>
      </c>
      <c r="N129" s="5">
        <v>0</v>
      </c>
      <c r="O129" s="17">
        <v>0</v>
      </c>
      <c r="Q129" s="15"/>
      <c r="S129" s="63"/>
    </row>
    <row r="130" spans="1:19" s="3" customFormat="1">
      <c r="A130" s="3" t="s">
        <v>91</v>
      </c>
      <c r="C130" s="2">
        <v>1437</v>
      </c>
      <c r="D130" s="2">
        <f t="shared" ref="D130" si="162">IF(AND(D132="",D131=""),"",C130+D132-D131)</f>
        <v>0</v>
      </c>
      <c r="E130" s="2">
        <f t="shared" ref="E130" si="163">IF(AND(E132="",E131=""),"",D130+E132-E131)</f>
        <v>0</v>
      </c>
      <c r="F130" s="2">
        <f t="shared" ref="F130" si="164">IF(AND(F132="",F131=""),"",E130+F132-F131)</f>
        <v>0</v>
      </c>
      <c r="G130" s="2">
        <f t="shared" ref="G130" si="165">IF(AND(G132="",G131=""),"",F130+G132-G131)</f>
        <v>0</v>
      </c>
      <c r="H130" s="2">
        <f t="shared" ref="H130" si="166">IF(AND(H132="",H131=""),"",G130+H132-H131)</f>
        <v>0</v>
      </c>
      <c r="I130" s="2">
        <f t="shared" ref="I130" si="167">IF(AND(I132="",I131=""),"",H130+I132-I131)</f>
        <v>0</v>
      </c>
      <c r="J130" s="2">
        <f t="shared" ref="J130" si="168">IF(AND(J132="",J131=""),"",I130+J132-J131)</f>
        <v>1174.5</v>
      </c>
      <c r="K130" s="2">
        <f t="shared" ref="K130" si="169">IF(AND(K132="",K131=""),"",J130+K132-K131)</f>
        <v>1174.5</v>
      </c>
      <c r="L130" s="2">
        <f t="shared" ref="L130" si="170">IF(AND(L132="",L131=""),"",K130+L132-L131)</f>
        <v>1174.5</v>
      </c>
      <c r="M130" s="21">
        <f t="shared" ref="M130" si="171">IF(AND(M132="",M131=""),"",L130+M132-M131)</f>
        <v>1174.5</v>
      </c>
      <c r="N130" s="2">
        <f t="shared" ref="N130" si="172">IF(AND(N132="",N131=""),"",M130+N132-N131)</f>
        <v>1174.5</v>
      </c>
      <c r="O130" s="16">
        <f t="shared" ref="O130" si="173">IF(AND(O132="",O131=""),"",N130+O132-O131)</f>
        <v>1174.5</v>
      </c>
      <c r="Q130" s="14"/>
      <c r="S130" s="64"/>
    </row>
    <row r="131" spans="1:19" s="4" customFormat="1">
      <c r="A131" s="4" t="s">
        <v>77</v>
      </c>
      <c r="C131" s="5">
        <v>0</v>
      </c>
      <c r="D131" s="5">
        <v>1437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22">
        <v>0</v>
      </c>
      <c r="N131" s="5">
        <v>0</v>
      </c>
      <c r="O131" s="17">
        <v>0</v>
      </c>
      <c r="Q131" s="15"/>
      <c r="S131" s="63"/>
    </row>
    <row r="132" spans="1:19" s="4" customFormat="1">
      <c r="A132" s="4" t="s">
        <v>78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1174.5</v>
      </c>
      <c r="K132" s="5">
        <v>0</v>
      </c>
      <c r="L132" s="5">
        <v>0</v>
      </c>
      <c r="M132" s="22">
        <v>0</v>
      </c>
      <c r="N132" s="5">
        <v>0</v>
      </c>
      <c r="O132" s="17">
        <v>0</v>
      </c>
      <c r="Q132" s="15"/>
      <c r="S132" s="63"/>
    </row>
    <row r="133" spans="1:19" s="4" customFormat="1">
      <c r="A133" s="3" t="s">
        <v>92</v>
      </c>
      <c r="B133" s="3"/>
      <c r="C133" s="2">
        <v>456</v>
      </c>
      <c r="D133" s="2">
        <f t="shared" ref="D133" si="174">IF(AND(D135="",D134=""),"",C133+D135-D134)</f>
        <v>456</v>
      </c>
      <c r="E133" s="2">
        <f t="shared" ref="E133" si="175">IF(AND(E135="",E134=""),"",D133+E135-E134)</f>
        <v>456</v>
      </c>
      <c r="F133" s="2">
        <f t="shared" ref="F133" si="176">IF(AND(F135="",F134=""),"",E133+F135-F134)</f>
        <v>456</v>
      </c>
      <c r="G133" s="2">
        <f t="shared" ref="G133" si="177">IF(AND(G135="",G134=""),"",F133+G135-G134)</f>
        <v>456</v>
      </c>
      <c r="H133" s="2">
        <f t="shared" ref="H133" si="178">IF(AND(H135="",H134=""),"",G133+H135-H134)</f>
        <v>581</v>
      </c>
      <c r="I133" s="2">
        <f t="shared" ref="I133" si="179">IF(AND(I135="",I134=""),"",H133+I135-I134)</f>
        <v>581</v>
      </c>
      <c r="J133" s="2">
        <f t="shared" ref="J133" si="180">IF(AND(J135="",J134=""),"",I133+J135-J134)</f>
        <v>581</v>
      </c>
      <c r="K133" s="2">
        <f t="shared" ref="K133" si="181">IF(AND(K135="",K134=""),"",J133+K135-K134)</f>
        <v>581</v>
      </c>
      <c r="L133" s="2">
        <f t="shared" ref="L133" si="182">IF(AND(L135="",L134=""),"",K133+L135-L134)</f>
        <v>581</v>
      </c>
      <c r="M133" s="21">
        <f t="shared" ref="M133" si="183">IF(AND(M135="",M134=""),"",L133+M135-M134)</f>
        <v>581</v>
      </c>
      <c r="N133" s="2">
        <f t="shared" ref="N133" si="184">IF(AND(N135="",N134=""),"",M133+N135-N134)</f>
        <v>581</v>
      </c>
      <c r="O133" s="16">
        <f t="shared" ref="O133" si="185">IF(AND(O135="",O134=""),"",N133+O135-O134)</f>
        <v>706</v>
      </c>
      <c r="Q133" s="15"/>
      <c r="S133" s="63"/>
    </row>
    <row r="134" spans="1:19" s="4" customFormat="1">
      <c r="A134" s="4" t="s">
        <v>77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22">
        <v>0</v>
      </c>
      <c r="N134" s="5">
        <v>0</v>
      </c>
      <c r="O134" s="17">
        <v>0</v>
      </c>
      <c r="Q134" s="15"/>
      <c r="S134" s="63"/>
    </row>
    <row r="135" spans="1:19" s="4" customFormat="1">
      <c r="A135" s="4" t="s">
        <v>78</v>
      </c>
      <c r="C135" s="5">
        <v>0</v>
      </c>
      <c r="D135" s="5">
        <v>0</v>
      </c>
      <c r="E135" s="5">
        <v>0</v>
      </c>
      <c r="F135" s="5">
        <v>0</v>
      </c>
      <c r="G135" s="5"/>
      <c r="H135" s="5">
        <v>125</v>
      </c>
      <c r="I135" s="5">
        <v>0</v>
      </c>
      <c r="J135" s="5">
        <v>0</v>
      </c>
      <c r="K135" s="5">
        <v>0</v>
      </c>
      <c r="L135" s="5">
        <v>0</v>
      </c>
      <c r="M135" s="22">
        <v>0</v>
      </c>
      <c r="N135" s="5">
        <v>0</v>
      </c>
      <c r="O135" s="17">
        <v>125</v>
      </c>
      <c r="Q135" s="15"/>
      <c r="S135" s="63"/>
    </row>
    <row r="136" spans="1:19" s="4" customFormat="1">
      <c r="A136" s="3" t="s">
        <v>93</v>
      </c>
      <c r="B136" s="3"/>
      <c r="C136" s="2">
        <v>9421</v>
      </c>
      <c r="D136" s="2">
        <f>IF(OR(D109="",D112="",D115="",D118="",D121="",D124="",D127="",D130="",D133=""),"",D109+D112+D115+D118+D121+D124+D127+D130+D133)</f>
        <v>7439.6</v>
      </c>
      <c r="E136" s="2">
        <f t="shared" ref="E136:O136" si="186">IF(OR(E109="",E112="",E115="",E118="",E121="",E124="",E127="",E130="",E133=""),"",E109+E112+E115+E118+E121+E124+E127+E130+E133)</f>
        <v>6677.1</v>
      </c>
      <c r="F136" s="2">
        <f t="shared" si="186"/>
        <v>6677.1</v>
      </c>
      <c r="G136" s="2">
        <f t="shared" si="186"/>
        <v>6677.1</v>
      </c>
      <c r="H136" s="2">
        <f t="shared" si="186"/>
        <v>6902.1</v>
      </c>
      <c r="I136" s="2">
        <f t="shared" si="186"/>
        <v>6902.1</v>
      </c>
      <c r="J136" s="2">
        <f t="shared" si="186"/>
        <v>8196.6</v>
      </c>
      <c r="K136" s="2">
        <f t="shared" si="186"/>
        <v>7996.6</v>
      </c>
      <c r="L136" s="2">
        <f t="shared" si="186"/>
        <v>7996.6</v>
      </c>
      <c r="M136" s="21">
        <f t="shared" si="186"/>
        <v>7996.6</v>
      </c>
      <c r="N136" s="2">
        <f t="shared" si="186"/>
        <v>7996.6</v>
      </c>
      <c r="O136" s="16">
        <f t="shared" si="186"/>
        <v>8118.3600000000006</v>
      </c>
      <c r="Q136" s="15"/>
      <c r="S136" s="63"/>
    </row>
    <row r="137" spans="1:19" s="4" customFormat="1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1"/>
      <c r="N137" s="2"/>
      <c r="O137" s="16"/>
      <c r="P137" s="5"/>
      <c r="Q137" s="13"/>
      <c r="S137" s="63"/>
    </row>
    <row r="138" spans="1:19" s="4" customFormat="1">
      <c r="A138" s="3" t="s">
        <v>94</v>
      </c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1"/>
      <c r="N138" s="2"/>
      <c r="O138" s="16"/>
      <c r="P138" s="2"/>
      <c r="Q138" s="13"/>
      <c r="S138" s="63"/>
    </row>
    <row r="139" spans="1:19" s="4" customFormat="1">
      <c r="C139" s="2" t="s">
        <v>11</v>
      </c>
      <c r="D139" s="2" t="s">
        <v>0</v>
      </c>
      <c r="E139" s="2" t="s">
        <v>1</v>
      </c>
      <c r="F139" s="2" t="s">
        <v>2</v>
      </c>
      <c r="G139" s="2" t="s">
        <v>3</v>
      </c>
      <c r="H139" s="2" t="s">
        <v>4</v>
      </c>
      <c r="I139" s="2" t="s">
        <v>5</v>
      </c>
      <c r="J139" s="2" t="s">
        <v>6</v>
      </c>
      <c r="K139" s="2" t="s">
        <v>7</v>
      </c>
      <c r="L139" s="2" t="s">
        <v>8</v>
      </c>
      <c r="M139" s="21" t="s">
        <v>9</v>
      </c>
      <c r="N139" s="2" t="s">
        <v>10</v>
      </c>
      <c r="O139" s="2" t="s">
        <v>11</v>
      </c>
      <c r="P139" s="5"/>
      <c r="Q139" s="13"/>
      <c r="S139" s="63"/>
    </row>
    <row r="140" spans="1:19" s="4" customFormat="1">
      <c r="A140" s="3" t="s">
        <v>95</v>
      </c>
      <c r="C140" s="2">
        <v>380</v>
      </c>
      <c r="D140" s="2">
        <f t="shared" ref="D140" si="187">IF(AND(D142="",D142=""),"",C140+D142-D141)</f>
        <v>380</v>
      </c>
      <c r="E140" s="2">
        <f t="shared" ref="E140" si="188">IF(AND(E142="",E142=""),"",D140+E142-E141)</f>
        <v>380</v>
      </c>
      <c r="F140" s="2">
        <f t="shared" ref="F140" si="189">IF(AND(F142="",F142=""),"",E140+F142-F141)</f>
        <v>380</v>
      </c>
      <c r="G140" s="2">
        <f t="shared" ref="G140" si="190">IF(AND(G142="",G142=""),"",F140+G142-G141)</f>
        <v>380</v>
      </c>
      <c r="H140" s="2">
        <f t="shared" ref="H140" si="191">IF(AND(H142="",H142=""),"",G140+H142-H141)</f>
        <v>380</v>
      </c>
      <c r="I140" s="2">
        <f t="shared" ref="I140" si="192">IF(AND(I142="",I142=""),"",H140+I142-I141)</f>
        <v>735</v>
      </c>
      <c r="J140" s="2">
        <f t="shared" ref="J140" si="193">IF(AND(J142="",J142=""),"",I140+J142-J141)</f>
        <v>735</v>
      </c>
      <c r="K140" s="2">
        <f t="shared" ref="K140" si="194">IF(AND(K142="",K142=""),"",J140+K142-K141)</f>
        <v>735</v>
      </c>
      <c r="L140" s="2">
        <f t="shared" ref="L140" si="195">IF(AND(L142="",L142=""),"",K140+L142-L141)</f>
        <v>535</v>
      </c>
      <c r="M140" s="21">
        <f t="shared" ref="M140" si="196">IF(AND(M142="",M142=""),"",L140+M142-M141)</f>
        <v>755</v>
      </c>
      <c r="N140" s="2">
        <f t="shared" ref="N140" si="197">IF(AND(N142="",N142=""),"",M140+N142-N141)</f>
        <v>755</v>
      </c>
      <c r="O140" s="16">
        <f t="shared" ref="O140" si="198">IF(AND(O142="",O142=""),"",N140+O142-O141)</f>
        <v>525</v>
      </c>
      <c r="Q140" s="15"/>
      <c r="S140" s="63"/>
    </row>
    <row r="141" spans="1:19" s="4" customFormat="1">
      <c r="A141" s="4" t="s">
        <v>77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572</v>
      </c>
      <c r="M141" s="22">
        <v>0</v>
      </c>
      <c r="N141" s="5">
        <v>0</v>
      </c>
      <c r="O141" s="17">
        <v>355</v>
      </c>
      <c r="Q141" s="15"/>
      <c r="S141" s="63"/>
    </row>
    <row r="142" spans="1:19" s="4" customFormat="1">
      <c r="A142" s="4" t="s">
        <v>78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355</v>
      </c>
      <c r="J142" s="5">
        <v>0</v>
      </c>
      <c r="K142" s="5">
        <v>0</v>
      </c>
      <c r="L142" s="5">
        <v>372</v>
      </c>
      <c r="M142" s="22">
        <v>220</v>
      </c>
      <c r="N142" s="5">
        <v>0</v>
      </c>
      <c r="O142" s="17">
        <v>125</v>
      </c>
      <c r="Q142" s="15"/>
      <c r="S142" s="63"/>
    </row>
    <row r="143" spans="1:19" s="4" customFormat="1">
      <c r="A143" s="3" t="s">
        <v>96</v>
      </c>
      <c r="C143" s="2">
        <v>2893</v>
      </c>
      <c r="D143" s="2">
        <f t="shared" ref="D143" si="199">IF(AND(D145="",D145=""),"",C143+D145-D144)</f>
        <v>2825</v>
      </c>
      <c r="E143" s="2">
        <f t="shared" ref="E143" si="200">IF(AND(E145="",E145=""),"",D143+E145-E144)</f>
        <v>3647.68</v>
      </c>
      <c r="F143" s="2">
        <f t="shared" ref="F143" si="201">IF(AND(F145="",F145=""),"",E143+F145-F144)</f>
        <v>3647.68</v>
      </c>
      <c r="G143" s="2">
        <f t="shared" ref="G143" si="202">IF(AND(G145="",G145=""),"",F143+G145-G144)</f>
        <v>3747.68</v>
      </c>
      <c r="H143" s="2">
        <f t="shared" ref="H143" si="203">IF(AND(H145="",H145=""),"",G143+H145-H144)</f>
        <v>3529.83</v>
      </c>
      <c r="I143" s="2">
        <f t="shared" ref="I143" si="204">IF(AND(I145="",I145=""),"",H143+I145-I144)</f>
        <v>3529.83</v>
      </c>
      <c r="J143" s="2">
        <f t="shared" ref="J143" si="205">IF(AND(J145="",J145=""),"",I143+J145-J144)</f>
        <v>3529.83</v>
      </c>
      <c r="K143" s="2">
        <f t="shared" ref="K143" si="206">IF(AND(K145="",K145=""),"",J143+K145-K144)</f>
        <v>3365.2599999999998</v>
      </c>
      <c r="L143" s="2">
        <f t="shared" ref="L143" si="207">IF(AND(L145="",L145=""),"",K143+L145-L144)</f>
        <v>3365.2599999999998</v>
      </c>
      <c r="M143" s="21">
        <f t="shared" ref="M143" si="208">IF(AND(M145="",M145=""),"",L143+M145-M144)</f>
        <v>3465.2599999999998</v>
      </c>
      <c r="N143" s="2">
        <f t="shared" ref="N143" si="209">IF(AND(N145="",N145=""),"",M143+N145-N144)</f>
        <v>3465.2599999999998</v>
      </c>
      <c r="O143" s="16">
        <f t="shared" ref="O143" si="210">IF(AND(O145="",O145=""),"",N143+O145-O144)</f>
        <v>3820.2599999999998</v>
      </c>
      <c r="Q143" s="15"/>
      <c r="S143" s="63"/>
    </row>
    <row r="144" spans="1:19" s="4" customFormat="1">
      <c r="A144" s="4" t="s">
        <v>77</v>
      </c>
      <c r="C144" s="5">
        <v>0</v>
      </c>
      <c r="D144" s="5">
        <v>68</v>
      </c>
      <c r="E144" s="5">
        <v>177.32</v>
      </c>
      <c r="F144" s="5">
        <v>0</v>
      </c>
      <c r="G144" s="5">
        <v>0</v>
      </c>
      <c r="H144" s="5">
        <v>265.91000000000003</v>
      </c>
      <c r="I144" s="5">
        <v>0</v>
      </c>
      <c r="J144" s="5">
        <v>0</v>
      </c>
      <c r="K144" s="5">
        <v>164.57</v>
      </c>
      <c r="L144" s="5">
        <v>0</v>
      </c>
      <c r="M144" s="22">
        <v>0</v>
      </c>
      <c r="N144" s="5">
        <v>0</v>
      </c>
      <c r="O144" s="17">
        <v>0</v>
      </c>
      <c r="Q144" s="15"/>
      <c r="S144" s="63"/>
    </row>
    <row r="145" spans="1:19" s="4" customFormat="1">
      <c r="A145" s="4" t="s">
        <v>78</v>
      </c>
      <c r="C145" s="5">
        <v>0</v>
      </c>
      <c r="D145" s="5">
        <v>0</v>
      </c>
      <c r="E145" s="5">
        <v>1000</v>
      </c>
      <c r="F145" s="5">
        <v>0</v>
      </c>
      <c r="G145" s="5">
        <v>100</v>
      </c>
      <c r="H145" s="5">
        <v>48.06</v>
      </c>
      <c r="I145" s="5">
        <v>0</v>
      </c>
      <c r="J145" s="5">
        <v>0</v>
      </c>
      <c r="K145" s="5">
        <v>0</v>
      </c>
      <c r="L145" s="5">
        <v>0</v>
      </c>
      <c r="M145" s="22">
        <v>100</v>
      </c>
      <c r="N145" s="5">
        <v>0</v>
      </c>
      <c r="O145" s="17">
        <v>355</v>
      </c>
      <c r="Q145" s="15"/>
      <c r="S145" s="63"/>
    </row>
    <row r="146" spans="1:19" s="4" customFormat="1">
      <c r="A146" s="3" t="s">
        <v>97</v>
      </c>
      <c r="C146" s="2">
        <v>2572</v>
      </c>
      <c r="D146" s="2">
        <f t="shared" ref="D146" si="211">IF(AND(D148="",D148=""),"",C146+D148-D147)</f>
        <v>2572</v>
      </c>
      <c r="E146" s="2">
        <f t="shared" ref="E146" si="212">IF(AND(E148="",E148=""),"",D146+E148-E147)</f>
        <v>2572</v>
      </c>
      <c r="F146" s="2">
        <f t="shared" ref="F146" si="213">IF(AND(F148="",F148=""),"",E146+F148-F147)</f>
        <v>2572</v>
      </c>
      <c r="G146" s="2">
        <f t="shared" ref="G146" si="214">IF(AND(G148="",G148=""),"",F146+G148-G147)</f>
        <v>2572</v>
      </c>
      <c r="H146" s="2">
        <f t="shared" ref="H146" si="215">IF(AND(H148="",H148=""),"",G146+H148-H147)</f>
        <v>2572</v>
      </c>
      <c r="I146" s="2">
        <f t="shared" ref="I146" si="216">IF(AND(I148="",I148=""),"",H146+I148-I147)</f>
        <v>2622</v>
      </c>
      <c r="J146" s="2">
        <f t="shared" ref="J146" si="217">IF(AND(J148="",J148=""),"",I146+J148-J147)</f>
        <v>2622</v>
      </c>
      <c r="K146" s="2">
        <f t="shared" ref="K146" si="218">IF(AND(K148="",K148=""),"",J146+K148-K147)</f>
        <v>2672</v>
      </c>
      <c r="L146" s="2">
        <f t="shared" ref="L146" si="219">IF(AND(L148="",L148=""),"",K146+L148-L147)</f>
        <v>2672</v>
      </c>
      <c r="M146" s="21">
        <f t="shared" ref="M146" si="220">IF(AND(M148="",M148=""),"",L146+M148-M147)</f>
        <v>2872</v>
      </c>
      <c r="N146" s="2">
        <f t="shared" ref="N146" si="221">IF(AND(N148="",N148=""),"",M146+N148-N147)</f>
        <v>2722</v>
      </c>
      <c r="O146" s="16">
        <f t="shared" ref="O146" si="222">IF(AND(O148="",O148=""),"",N146+O148-O147)</f>
        <v>2827.44</v>
      </c>
      <c r="Q146" s="15"/>
      <c r="S146" s="63"/>
    </row>
    <row r="147" spans="1:19" s="4" customFormat="1">
      <c r="A147" s="4" t="s">
        <v>77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22">
        <v>0</v>
      </c>
      <c r="N147" s="5">
        <v>150</v>
      </c>
      <c r="O147" s="17">
        <v>0</v>
      </c>
      <c r="Q147" s="15"/>
      <c r="S147" s="63"/>
    </row>
    <row r="148" spans="1:19" s="4" customFormat="1">
      <c r="A148" s="4" t="s">
        <v>78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50</v>
      </c>
      <c r="J148" s="5">
        <v>0</v>
      </c>
      <c r="K148" s="5">
        <v>50</v>
      </c>
      <c r="L148" s="5">
        <v>0</v>
      </c>
      <c r="M148" s="22">
        <v>200</v>
      </c>
      <c r="N148" s="5">
        <v>0</v>
      </c>
      <c r="O148" s="17">
        <v>105.44</v>
      </c>
      <c r="Q148" s="15"/>
      <c r="S148" s="63"/>
    </row>
    <row r="149" spans="1:19" s="4" customFormat="1">
      <c r="A149" s="3" t="s">
        <v>98</v>
      </c>
      <c r="C149" s="2">
        <v>1015</v>
      </c>
      <c r="D149" s="2">
        <f t="shared" ref="D149" si="223">IF(AND(D151="",D151=""),"",C149+D151-D150)</f>
        <v>1015</v>
      </c>
      <c r="E149" s="2">
        <f t="shared" ref="E149" si="224">IF(AND(E151="",E151=""),"",D149+E151-E150)</f>
        <v>1015</v>
      </c>
      <c r="F149" s="2">
        <f t="shared" ref="F149" si="225">IF(AND(F151="",F151=""),"",E149+F151-F150)</f>
        <v>1015</v>
      </c>
      <c r="G149" s="2">
        <f t="shared" ref="G149" si="226">IF(AND(G151="",G151=""),"",F149+G151-G150)</f>
        <v>1015</v>
      </c>
      <c r="H149" s="2">
        <f t="shared" ref="H149" si="227">IF(AND(H151="",H151=""),"",G149+H151-H150)</f>
        <v>1015</v>
      </c>
      <c r="I149" s="2">
        <f t="shared" ref="I149" si="228">IF(AND(I151="",I151=""),"",H149+I151-I150)</f>
        <v>1015</v>
      </c>
      <c r="J149" s="2">
        <f t="shared" ref="J149" si="229">IF(AND(J151="",J151=""),"",I149+J151-J150)</f>
        <v>1015</v>
      </c>
      <c r="K149" s="2">
        <f t="shared" ref="K149" si="230">IF(AND(K151="",K151=""),"",J149+K151-K150)</f>
        <v>1015</v>
      </c>
      <c r="L149" s="2">
        <f t="shared" ref="L149" si="231">IF(AND(L151="",L151=""),"",K149+L151-L150)</f>
        <v>1015</v>
      </c>
      <c r="M149" s="21">
        <f t="shared" ref="M149" si="232">IF(AND(M151="",M151=""),"",L149+M151-M150)</f>
        <v>1015</v>
      </c>
      <c r="N149" s="2">
        <f t="shared" ref="N149" si="233">IF(AND(N151="",N151=""),"",M149+N151-N150)</f>
        <v>1015</v>
      </c>
      <c r="O149" s="16">
        <f t="shared" ref="O149" si="234">IF(AND(O151="",O151=""),"",N149+O151-O150)</f>
        <v>1015</v>
      </c>
      <c r="Q149" s="15"/>
      <c r="S149" s="63"/>
    </row>
    <row r="150" spans="1:19" s="4" customFormat="1">
      <c r="A150" s="4" t="s">
        <v>77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22">
        <v>0</v>
      </c>
      <c r="N150" s="5">
        <v>0</v>
      </c>
      <c r="O150" s="17">
        <v>0</v>
      </c>
      <c r="Q150" s="15"/>
      <c r="S150" s="63"/>
    </row>
    <row r="151" spans="1:19" s="4" customFormat="1">
      <c r="A151" s="4" t="s">
        <v>78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22">
        <v>0</v>
      </c>
      <c r="N151" s="5">
        <v>0</v>
      </c>
      <c r="O151" s="17">
        <v>0</v>
      </c>
      <c r="Q151" s="15"/>
      <c r="S151" s="63"/>
    </row>
    <row r="152" spans="1:19" s="3" customFormat="1">
      <c r="A152" s="3" t="s">
        <v>99</v>
      </c>
      <c r="C152" s="2">
        <v>2825</v>
      </c>
      <c r="D152" s="2">
        <f t="shared" ref="D152" si="235">IF(AND(D154="",D154=""),"",C152+D154-D153)</f>
        <v>0</v>
      </c>
      <c r="E152" s="2">
        <f t="shared" ref="E152" si="236">IF(AND(E154="",E154=""),"",D152+E154-E153)</f>
        <v>0</v>
      </c>
      <c r="F152" s="2">
        <f t="shared" ref="F152" si="237">IF(AND(F154="",F154=""),"",E152+F154-F153)</f>
        <v>0</v>
      </c>
      <c r="G152" s="2">
        <f t="shared" ref="G152" si="238">IF(AND(G154="",G154=""),"",F152+G154-G153)</f>
        <v>50</v>
      </c>
      <c r="H152" s="2">
        <f t="shared" ref="H152" si="239">IF(AND(H154="",H154=""),"",G152+H154-H153)</f>
        <v>50</v>
      </c>
      <c r="I152" s="2">
        <f t="shared" ref="I152" si="240">IF(AND(I154="",I154=""),"",H152+I154-I153)</f>
        <v>150</v>
      </c>
      <c r="J152" s="2">
        <f t="shared" ref="J152" si="241">IF(AND(J154="",J154=""),"",I152+J154-J153)</f>
        <v>150</v>
      </c>
      <c r="K152" s="2">
        <f t="shared" ref="K152" si="242">IF(AND(K154="",K154=""),"",J152+K154-K153)</f>
        <v>150</v>
      </c>
      <c r="L152" s="2">
        <f t="shared" ref="L152" si="243">IF(AND(L154="",L154=""),"",K152+L154-L153)</f>
        <v>150</v>
      </c>
      <c r="M152" s="21">
        <f t="shared" ref="M152" si="244">IF(AND(M154="",M154=""),"",L152+M154-M153)</f>
        <v>150</v>
      </c>
      <c r="N152" s="2">
        <f t="shared" ref="N152" si="245">IF(AND(N154="",N154=""),"",M152+N154-N153)</f>
        <v>660</v>
      </c>
      <c r="O152" s="16">
        <f t="shared" ref="O152" si="246">IF(AND(O154="",O154=""),"",N152+O154-O153)</f>
        <v>660</v>
      </c>
      <c r="Q152" s="14"/>
      <c r="S152" s="64"/>
    </row>
    <row r="153" spans="1:19" s="4" customFormat="1">
      <c r="A153" s="9" t="s">
        <v>84</v>
      </c>
      <c r="C153" s="5">
        <v>0</v>
      </c>
      <c r="D153" s="5">
        <v>2825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22">
        <v>0</v>
      </c>
      <c r="N153" s="5">
        <v>0</v>
      </c>
      <c r="O153" s="17">
        <v>0</v>
      </c>
      <c r="Q153" s="15"/>
      <c r="S153" s="63"/>
    </row>
    <row r="154" spans="1:19" s="4" customFormat="1">
      <c r="A154" s="9" t="s">
        <v>85</v>
      </c>
      <c r="C154" s="5">
        <v>0</v>
      </c>
      <c r="D154" s="5">
        <v>0</v>
      </c>
      <c r="E154" s="5">
        <v>0</v>
      </c>
      <c r="F154" s="5">
        <v>0</v>
      </c>
      <c r="G154" s="5">
        <v>50</v>
      </c>
      <c r="H154" s="5">
        <v>0</v>
      </c>
      <c r="I154" s="5">
        <v>100</v>
      </c>
      <c r="J154" s="5">
        <v>0</v>
      </c>
      <c r="K154" s="5">
        <v>0</v>
      </c>
      <c r="L154" s="5">
        <v>0</v>
      </c>
      <c r="M154" s="22">
        <v>0</v>
      </c>
      <c r="N154" s="5">
        <v>510</v>
      </c>
      <c r="O154" s="17">
        <v>0</v>
      </c>
      <c r="Q154" s="15"/>
      <c r="S154" s="63"/>
    </row>
    <row r="155" spans="1:19" s="3" customFormat="1">
      <c r="A155" s="3" t="s">
        <v>100</v>
      </c>
      <c r="C155" s="2">
        <v>305</v>
      </c>
      <c r="D155" s="2">
        <f t="shared" ref="D155" si="247">IF(AND(D157="",D157=""),"",C155+D157-D156)</f>
        <v>305</v>
      </c>
      <c r="E155" s="2">
        <f t="shared" ref="E155" si="248">IF(AND(E157="",E157=""),"",D155+E157-E156)</f>
        <v>305</v>
      </c>
      <c r="F155" s="2">
        <f t="shared" ref="F155" si="249">IF(AND(F157="",F157=""),"",E155+F157-F156)</f>
        <v>305</v>
      </c>
      <c r="G155" s="2">
        <f t="shared" ref="G155" si="250">IF(AND(G157="",G157=""),"",F155+G157-G156)</f>
        <v>305</v>
      </c>
      <c r="H155" s="2">
        <f t="shared" ref="H155" si="251">IF(AND(H157="",H157=""),"",G155+H157-H156)</f>
        <v>305</v>
      </c>
      <c r="I155" s="2">
        <f t="shared" ref="I155" si="252">IF(AND(I157="",I157=""),"",H155+I157-I156)</f>
        <v>305</v>
      </c>
      <c r="J155" s="2">
        <f t="shared" ref="J155" si="253">IF(AND(J157="",J157=""),"",I155+J157-J156)</f>
        <v>305</v>
      </c>
      <c r="K155" s="2">
        <f t="shared" ref="K155" si="254">IF(AND(K157="",K157=""),"",J155+K157-K156)</f>
        <v>305</v>
      </c>
      <c r="L155" s="2">
        <f t="shared" ref="L155" si="255">IF(AND(L157="",L157=""),"",K155+L157-L156)</f>
        <v>305</v>
      </c>
      <c r="M155" s="21">
        <f t="shared" ref="M155" si="256">IF(AND(M157="",M157=""),"",L155+M157-M156)</f>
        <v>305</v>
      </c>
      <c r="N155" s="2">
        <f t="shared" ref="N155" si="257">IF(AND(N157="",N157=""),"",M155+N157-N156)</f>
        <v>305</v>
      </c>
      <c r="O155" s="16">
        <f t="shared" ref="O155" si="258">IF(AND(O157="",O157=""),"",N155+O157-O156)</f>
        <v>305</v>
      </c>
      <c r="Q155" s="14"/>
      <c r="S155" s="64"/>
    </row>
    <row r="156" spans="1:19" s="4" customFormat="1">
      <c r="A156" s="9" t="s">
        <v>84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22">
        <v>0</v>
      </c>
      <c r="N156" s="5">
        <v>0</v>
      </c>
      <c r="O156" s="17">
        <v>0</v>
      </c>
      <c r="Q156" s="15"/>
      <c r="S156" s="63"/>
    </row>
    <row r="157" spans="1:19" s="4" customFormat="1">
      <c r="A157" s="9" t="s">
        <v>85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22">
        <v>0</v>
      </c>
      <c r="N157" s="5">
        <v>0</v>
      </c>
      <c r="O157" s="17">
        <v>0</v>
      </c>
      <c r="Q157" s="15"/>
      <c r="S157" s="63"/>
    </row>
    <row r="158" spans="1:19" s="3" customFormat="1">
      <c r="A158" s="3" t="s">
        <v>101</v>
      </c>
      <c r="C158" s="2">
        <v>313</v>
      </c>
      <c r="D158" s="2">
        <f t="shared" ref="D158" si="259">IF(AND(D160="",D160=""),"",C158+D160-D159)</f>
        <v>313</v>
      </c>
      <c r="E158" s="2">
        <f t="shared" ref="E158" si="260">IF(AND(E160="",E160=""),"",D158+E160-E159)</f>
        <v>313</v>
      </c>
      <c r="F158" s="2">
        <f t="shared" ref="F158" si="261">IF(AND(F160="",F160=""),"",E158+F160-F159)</f>
        <v>313</v>
      </c>
      <c r="G158" s="2">
        <f t="shared" ref="G158" si="262">IF(AND(G160="",G160=""),"",F158+G160-G159)</f>
        <v>313</v>
      </c>
      <c r="H158" s="2">
        <f t="shared" ref="H158" si="263">IF(AND(H160="",H160=""),"",G158+H160-H159)</f>
        <v>313</v>
      </c>
      <c r="I158" s="2">
        <f t="shared" ref="I158" si="264">IF(AND(I160="",I160=""),"",H158+I160-I159)</f>
        <v>313</v>
      </c>
      <c r="J158" s="2">
        <f t="shared" ref="J158" si="265">IF(AND(J160="",J160=""),"",I158+J160-J159)</f>
        <v>313</v>
      </c>
      <c r="K158" s="2">
        <f t="shared" ref="K158" si="266">IF(AND(K160="",K160=""),"",J158+K160-K159)</f>
        <v>313</v>
      </c>
      <c r="L158" s="2">
        <f t="shared" ref="L158" si="267">IF(AND(L160="",L160=""),"",K158+L160-L159)</f>
        <v>313</v>
      </c>
      <c r="M158" s="21">
        <f t="shared" ref="M158" si="268">IF(AND(M160="",M160=""),"",L158+M160-M159)</f>
        <v>313</v>
      </c>
      <c r="N158" s="2">
        <f t="shared" ref="N158" si="269">IF(AND(N160="",N160=""),"",M158+N160-N159)</f>
        <v>313</v>
      </c>
      <c r="O158" s="16">
        <f t="shared" ref="O158" si="270">IF(AND(O160="",O160=""),"",N158+O160-O159)</f>
        <v>313</v>
      </c>
      <c r="Q158" s="14"/>
      <c r="S158" s="64"/>
    </row>
    <row r="159" spans="1:19" s="4" customFormat="1">
      <c r="A159" s="9" t="s">
        <v>84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22">
        <v>0</v>
      </c>
      <c r="N159" s="5">
        <v>0</v>
      </c>
      <c r="O159" s="17">
        <v>0</v>
      </c>
      <c r="Q159" s="15"/>
      <c r="S159" s="63"/>
    </row>
    <row r="160" spans="1:19" s="4" customFormat="1">
      <c r="A160" s="9" t="s">
        <v>85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22">
        <v>0</v>
      </c>
      <c r="N160" s="5">
        <v>0</v>
      </c>
      <c r="O160" s="17">
        <v>0</v>
      </c>
      <c r="Q160" s="15"/>
      <c r="S160" s="63"/>
    </row>
    <row r="161" spans="1:19" s="3" customFormat="1">
      <c r="A161" s="3" t="s">
        <v>112</v>
      </c>
      <c r="C161" s="2">
        <v>0</v>
      </c>
      <c r="D161" s="2">
        <v>0</v>
      </c>
      <c r="E161" s="2">
        <v>0</v>
      </c>
      <c r="F161" s="2">
        <f t="shared" ref="F161" si="271">IF(AND(F163="",F163=""),"",E161+F163-F162)</f>
        <v>0</v>
      </c>
      <c r="G161" s="2">
        <f t="shared" ref="G161" si="272">IF(AND(G163="",G163=""),"",F161+G163-G162)</f>
        <v>0</v>
      </c>
      <c r="H161" s="2">
        <f t="shared" ref="H161" si="273">IF(AND(H163="",H163=""),"",G161+H163-H162)</f>
        <v>0</v>
      </c>
      <c r="I161" s="2">
        <f t="shared" ref="I161" si="274">IF(AND(I163="",I163=""),"",H161+I163-I162)</f>
        <v>0</v>
      </c>
      <c r="J161" s="2">
        <f t="shared" ref="J161" si="275">IF(AND(J163="",J163=""),"",I161+J163-J162)</f>
        <v>0</v>
      </c>
      <c r="K161" s="2">
        <f t="shared" ref="K161" si="276">IF(AND(K163="",K163=""),"",J161+K163-K162)</f>
        <v>0</v>
      </c>
      <c r="L161" s="2">
        <f t="shared" ref="L161" si="277">IF(AND(L163="",L163=""),"",K161+L163-L162)</f>
        <v>125</v>
      </c>
      <c r="M161" s="21">
        <f t="shared" ref="M161" si="278">IF(AND(M163="",M163=""),"",L161+M163-M162)</f>
        <v>125</v>
      </c>
      <c r="N161" s="2">
        <f t="shared" ref="N161" si="279">IF(AND(N163="",N163=""),"",M161+N163-N162)</f>
        <v>125</v>
      </c>
      <c r="O161" s="16">
        <f t="shared" ref="O161" si="280">IF(AND(O163="",O163=""),"",N161+O163-O162)</f>
        <v>125</v>
      </c>
      <c r="Q161" s="14"/>
      <c r="S161" s="64"/>
    </row>
    <row r="162" spans="1:19" s="4" customFormat="1">
      <c r="A162" s="9" t="s">
        <v>84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22">
        <v>0</v>
      </c>
      <c r="N162" s="5">
        <v>0</v>
      </c>
      <c r="O162" s="17">
        <v>0</v>
      </c>
      <c r="Q162" s="15"/>
      <c r="S162" s="63"/>
    </row>
    <row r="163" spans="1:19" s="4" customFormat="1">
      <c r="A163" s="9" t="s">
        <v>85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125</v>
      </c>
      <c r="M163" s="22">
        <v>0</v>
      </c>
      <c r="N163" s="5">
        <v>0</v>
      </c>
      <c r="O163" s="17">
        <v>0</v>
      </c>
      <c r="Q163" s="15"/>
      <c r="S163" s="63"/>
    </row>
    <row r="164" spans="1:19" s="4" customFormat="1">
      <c r="A164" s="3" t="s">
        <v>12</v>
      </c>
      <c r="C164" s="2">
        <f>IF(OR(C140="",C143="",C146="",C149="",C152="",C155="",C158=""),"",C140+C143+C146+C149+C152+C155+C158+C161)</f>
        <v>10303</v>
      </c>
      <c r="D164" s="2">
        <f>IF(OR(D140="",D143="",D146="",D149="",D152="",D155="",D158=""),"",D140+D143+D146+D149+D152+D155+D158+D161)</f>
        <v>7410</v>
      </c>
      <c r="E164" s="2">
        <f t="shared" ref="E164:O164" si="281">IF(OR(E140="",E143="",E146="",E149="",E152="",E155="",E158=""),"",E140+E143+E146+E149+E152+E155+E158+E161)</f>
        <v>8232.68</v>
      </c>
      <c r="F164" s="2">
        <f t="shared" si="281"/>
        <v>8232.68</v>
      </c>
      <c r="G164" s="2">
        <f t="shared" si="281"/>
        <v>8382.68</v>
      </c>
      <c r="H164" s="2">
        <f t="shared" si="281"/>
        <v>8164.83</v>
      </c>
      <c r="I164" s="2">
        <f t="shared" si="281"/>
        <v>8669.83</v>
      </c>
      <c r="J164" s="2">
        <f t="shared" si="281"/>
        <v>8669.83</v>
      </c>
      <c r="K164" s="2">
        <f t="shared" si="281"/>
        <v>8555.26</v>
      </c>
      <c r="L164" s="2">
        <f t="shared" si="281"/>
        <v>8480.26</v>
      </c>
      <c r="M164" s="21">
        <f t="shared" si="281"/>
        <v>9000.26</v>
      </c>
      <c r="N164" s="2">
        <f t="shared" si="281"/>
        <v>9360.26</v>
      </c>
      <c r="O164" s="16">
        <f t="shared" si="281"/>
        <v>9590.7000000000007</v>
      </c>
      <c r="Q164" s="15"/>
      <c r="S164" s="63"/>
    </row>
    <row r="165" spans="1:19" s="4" customFormat="1">
      <c r="A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6"/>
      <c r="P165" s="5"/>
      <c r="Q165" s="13"/>
      <c r="S165" s="63"/>
    </row>
    <row r="166" spans="1:19" s="4" customForma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7"/>
      <c r="P166" s="5"/>
      <c r="Q166" s="13"/>
      <c r="S166" s="63"/>
    </row>
    <row r="167" spans="1:19" s="4" customForma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7"/>
      <c r="P167" s="5"/>
      <c r="Q167" s="13"/>
      <c r="S167" s="63"/>
    </row>
    <row r="168" spans="1:19" s="4" customFormat="1">
      <c r="C168" s="5"/>
      <c r="D168" s="5"/>
      <c r="E168" s="5"/>
      <c r="F168" s="5"/>
      <c r="G168" s="5"/>
      <c r="H168" s="5"/>
      <c r="I168" s="5"/>
      <c r="J168" s="5"/>
      <c r="K168" s="5"/>
      <c r="L168" s="2" t="s">
        <v>89</v>
      </c>
      <c r="M168" s="5"/>
      <c r="N168" s="5"/>
      <c r="O168" s="17"/>
      <c r="P168" s="5"/>
      <c r="Q168" s="13"/>
      <c r="S168" s="63"/>
    </row>
    <row r="169" spans="1:19" s="4" customFormat="1">
      <c r="A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7"/>
      <c r="P169" s="5"/>
      <c r="Q169" s="13"/>
      <c r="S169" s="63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rintOptions gridLines="1"/>
  <pageMargins left="0.25" right="0.25" top="0.73350000000000004" bottom="0.73350000000000004" header="0.3" footer="0.3"/>
  <pageSetup scale="75" fitToHeight="0" orientation="landscape" horizontalDpi="180" verticalDpi="180" r:id="rId1"/>
  <headerFooter alignWithMargins="0">
    <oddHeader>&amp;C&amp;"Arial11,Regular"&amp;12&amp;K000000&amp;A</oddHeader>
    <oddFooter>&amp;C&amp;"Arial11,Regular"&amp;12&amp;K000000Page &amp;P</oddFooter>
  </headerFooter>
  <rowBreaks count="2" manualBreakCount="2">
    <brk id="44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2023-2024</vt:lpstr>
      <vt:lpstr>HVUUC 2022-2023</vt:lpstr>
      <vt:lpstr>HVUUC 2021 -2022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Deborah Helmer</cp:lastModifiedBy>
  <cp:lastPrinted>2023-07-04T15:32:15Z</cp:lastPrinted>
  <dcterms:created xsi:type="dcterms:W3CDTF">2020-07-28T22:49:01Z</dcterms:created>
  <dcterms:modified xsi:type="dcterms:W3CDTF">2023-11-05T13:02:08Z</dcterms:modified>
</cp:coreProperties>
</file>