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Church website\"/>
    </mc:Choice>
  </mc:AlternateContent>
  <xr:revisionPtr revIDLastSave="0" documentId="8_{4720EF64-1114-491F-BC75-3F3639CE01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VUUC 2021 -202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4" i="7" l="1"/>
  <c r="F161" i="7"/>
  <c r="G161" i="7" s="1"/>
  <c r="H161" i="7" s="1"/>
  <c r="I161" i="7" s="1"/>
  <c r="J161" i="7" s="1"/>
  <c r="K161" i="7" s="1"/>
  <c r="L161" i="7" s="1"/>
  <c r="M161" i="7" s="1"/>
  <c r="N161" i="7" s="1"/>
  <c r="O161" i="7" s="1"/>
  <c r="D158" i="7"/>
  <c r="E158" i="7" s="1"/>
  <c r="F158" i="7" s="1"/>
  <c r="G158" i="7" s="1"/>
  <c r="H158" i="7" s="1"/>
  <c r="I158" i="7" s="1"/>
  <c r="J158" i="7" s="1"/>
  <c r="K158" i="7" s="1"/>
  <c r="L158" i="7" s="1"/>
  <c r="M158" i="7" s="1"/>
  <c r="N158" i="7" s="1"/>
  <c r="O158" i="7" s="1"/>
  <c r="D155" i="7"/>
  <c r="E155" i="7" s="1"/>
  <c r="F155" i="7" s="1"/>
  <c r="G155" i="7" s="1"/>
  <c r="H155" i="7" s="1"/>
  <c r="I155" i="7" s="1"/>
  <c r="J155" i="7" s="1"/>
  <c r="K155" i="7" s="1"/>
  <c r="L155" i="7" s="1"/>
  <c r="M155" i="7" s="1"/>
  <c r="N155" i="7" s="1"/>
  <c r="O155" i="7" s="1"/>
  <c r="D152" i="7"/>
  <c r="E152" i="7" s="1"/>
  <c r="F152" i="7" s="1"/>
  <c r="G152" i="7" s="1"/>
  <c r="H152" i="7" s="1"/>
  <c r="I152" i="7" s="1"/>
  <c r="J152" i="7" s="1"/>
  <c r="K152" i="7" s="1"/>
  <c r="L152" i="7" s="1"/>
  <c r="M152" i="7" s="1"/>
  <c r="N152" i="7" s="1"/>
  <c r="O152" i="7" s="1"/>
  <c r="D149" i="7"/>
  <c r="E149" i="7" s="1"/>
  <c r="F149" i="7" s="1"/>
  <c r="G149" i="7" s="1"/>
  <c r="H149" i="7" s="1"/>
  <c r="I149" i="7" s="1"/>
  <c r="J149" i="7" s="1"/>
  <c r="K149" i="7" s="1"/>
  <c r="L149" i="7" s="1"/>
  <c r="M149" i="7" s="1"/>
  <c r="N149" i="7" s="1"/>
  <c r="O149" i="7" s="1"/>
  <c r="D146" i="7"/>
  <c r="E146" i="7" s="1"/>
  <c r="F146" i="7" s="1"/>
  <c r="G146" i="7" s="1"/>
  <c r="H146" i="7" s="1"/>
  <c r="I146" i="7" s="1"/>
  <c r="J146" i="7" s="1"/>
  <c r="K146" i="7" s="1"/>
  <c r="L146" i="7" s="1"/>
  <c r="M146" i="7" s="1"/>
  <c r="N146" i="7" s="1"/>
  <c r="O146" i="7" s="1"/>
  <c r="D143" i="7"/>
  <c r="E143" i="7" s="1"/>
  <c r="F143" i="7" s="1"/>
  <c r="G143" i="7" s="1"/>
  <c r="H143" i="7" s="1"/>
  <c r="I143" i="7" s="1"/>
  <c r="J143" i="7" s="1"/>
  <c r="K143" i="7" s="1"/>
  <c r="L143" i="7" s="1"/>
  <c r="M143" i="7" s="1"/>
  <c r="N143" i="7" s="1"/>
  <c r="O143" i="7" s="1"/>
  <c r="D140" i="7"/>
  <c r="E140" i="7" s="1"/>
  <c r="D133" i="7"/>
  <c r="E133" i="7" s="1"/>
  <c r="F133" i="7" s="1"/>
  <c r="G133" i="7" s="1"/>
  <c r="H133" i="7" s="1"/>
  <c r="I133" i="7" s="1"/>
  <c r="J133" i="7" s="1"/>
  <c r="K133" i="7" s="1"/>
  <c r="L133" i="7" s="1"/>
  <c r="M133" i="7" s="1"/>
  <c r="N133" i="7" s="1"/>
  <c r="O133" i="7" s="1"/>
  <c r="D130" i="7"/>
  <c r="E130" i="7" s="1"/>
  <c r="F130" i="7" s="1"/>
  <c r="G130" i="7" s="1"/>
  <c r="H130" i="7" s="1"/>
  <c r="I130" i="7" s="1"/>
  <c r="J130" i="7" s="1"/>
  <c r="K130" i="7" s="1"/>
  <c r="L130" i="7" s="1"/>
  <c r="M130" i="7" s="1"/>
  <c r="N130" i="7" s="1"/>
  <c r="O130" i="7" s="1"/>
  <c r="D127" i="7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D124" i="7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D121" i="7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D118" i="7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D115" i="7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D112" i="7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D109" i="7"/>
  <c r="E109" i="7" s="1"/>
  <c r="C106" i="7"/>
  <c r="C81" i="7" s="1"/>
  <c r="D103" i="7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D100" i="7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D97" i="7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I96" i="7"/>
  <c r="E94" i="7"/>
  <c r="F94" i="7" s="1"/>
  <c r="G94" i="7" s="1"/>
  <c r="H94" i="7" s="1"/>
  <c r="D94" i="7"/>
  <c r="D91" i="7"/>
  <c r="E91" i="7" s="1"/>
  <c r="D84" i="7"/>
  <c r="C82" i="7"/>
  <c r="N80" i="7"/>
  <c r="M80" i="7"/>
  <c r="J80" i="7"/>
  <c r="F80" i="7"/>
  <c r="E80" i="7"/>
  <c r="L77" i="7"/>
  <c r="K77" i="7"/>
  <c r="J77" i="7"/>
  <c r="D77" i="7"/>
  <c r="C77" i="7"/>
  <c r="O71" i="7"/>
  <c r="O80" i="7" s="1"/>
  <c r="N71" i="7"/>
  <c r="N77" i="7" s="1"/>
  <c r="M71" i="7"/>
  <c r="M77" i="7" s="1"/>
  <c r="L71" i="7"/>
  <c r="L80" i="7" s="1"/>
  <c r="K71" i="7"/>
  <c r="K80" i="7" s="1"/>
  <c r="J71" i="7"/>
  <c r="I71" i="7"/>
  <c r="I80" i="7" s="1"/>
  <c r="H71" i="7"/>
  <c r="H80" i="7" s="1"/>
  <c r="G71" i="7"/>
  <c r="G80" i="7" s="1"/>
  <c r="F71" i="7"/>
  <c r="F77" i="7" s="1"/>
  <c r="E71" i="7"/>
  <c r="E77" i="7" s="1"/>
  <c r="D71" i="7"/>
  <c r="D80" i="7" s="1"/>
  <c r="C71" i="7"/>
  <c r="C80" i="7" s="1"/>
  <c r="M63" i="7"/>
  <c r="P62" i="7"/>
  <c r="N62" i="7"/>
  <c r="M62" i="7"/>
  <c r="L62" i="7"/>
  <c r="K62" i="7"/>
  <c r="J62" i="7"/>
  <c r="I62" i="7"/>
  <c r="H62" i="7"/>
  <c r="G62" i="7"/>
  <c r="F62" i="7"/>
  <c r="E62" i="7"/>
  <c r="D62" i="7"/>
  <c r="C62" i="7"/>
  <c r="O60" i="7"/>
  <c r="O59" i="7"/>
  <c r="O58" i="7"/>
  <c r="C57" i="7"/>
  <c r="O57" i="7" s="1"/>
  <c r="Q56" i="7" s="1"/>
  <c r="O54" i="7"/>
  <c r="Q54" i="7" s="1"/>
  <c r="O53" i="7"/>
  <c r="Q53" i="7" s="1"/>
  <c r="Q52" i="7"/>
  <c r="O52" i="7"/>
  <c r="O51" i="7"/>
  <c r="Q51" i="7" s="1"/>
  <c r="O50" i="7"/>
  <c r="Q50" i="7" s="1"/>
  <c r="O49" i="7"/>
  <c r="Q49" i="7" s="1"/>
  <c r="Q48" i="7"/>
  <c r="O48" i="7"/>
  <c r="O42" i="7"/>
  <c r="Q42" i="7" s="1"/>
  <c r="O41" i="7"/>
  <c r="Q41" i="7" s="1"/>
  <c r="O40" i="7"/>
  <c r="Q40" i="7" s="1"/>
  <c r="Q39" i="7"/>
  <c r="O39" i="7"/>
  <c r="O36" i="7"/>
  <c r="Q36" i="7" s="1"/>
  <c r="O35" i="7"/>
  <c r="Q35" i="7" s="1"/>
  <c r="O34" i="7"/>
  <c r="Q34" i="7" s="1"/>
  <c r="Q33" i="7"/>
  <c r="O33" i="7"/>
  <c r="O30" i="7"/>
  <c r="Q30" i="7" s="1"/>
  <c r="O29" i="7"/>
  <c r="Q29" i="7" s="1"/>
  <c r="O28" i="7"/>
  <c r="Q28" i="7" s="1"/>
  <c r="Q27" i="7"/>
  <c r="O27" i="7"/>
  <c r="O24" i="7"/>
  <c r="Q24" i="7" s="1"/>
  <c r="O23" i="7"/>
  <c r="Q23" i="7" s="1"/>
  <c r="O22" i="7"/>
  <c r="Q22" i="7" s="1"/>
  <c r="Q21" i="7"/>
  <c r="O21" i="7"/>
  <c r="O20" i="7"/>
  <c r="Q20" i="7" s="1"/>
  <c r="O19" i="7"/>
  <c r="Q19" i="7" s="1"/>
  <c r="O18" i="7"/>
  <c r="Q18" i="7" s="1"/>
  <c r="Q17" i="7"/>
  <c r="O17" i="7"/>
  <c r="O62" i="7" s="1"/>
  <c r="Q62" i="7" s="1"/>
  <c r="P11" i="7"/>
  <c r="E84" i="7" s="1"/>
  <c r="N11" i="7"/>
  <c r="N63" i="7" s="1"/>
  <c r="M11" i="7"/>
  <c r="K11" i="7"/>
  <c r="K63" i="7" s="1"/>
  <c r="I11" i="7"/>
  <c r="I63" i="7" s="1"/>
  <c r="G11" i="7"/>
  <c r="G63" i="7" s="1"/>
  <c r="F11" i="7"/>
  <c r="F63" i="7" s="1"/>
  <c r="C11" i="7"/>
  <c r="C63" i="7" s="1"/>
  <c r="J10" i="7"/>
  <c r="H10" i="7"/>
  <c r="H11" i="7" s="1"/>
  <c r="H63" i="7" s="1"/>
  <c r="D10" i="7"/>
  <c r="O10" i="7" s="1"/>
  <c r="Q10" i="7" s="1"/>
  <c r="O9" i="7"/>
  <c r="Q9" i="7" s="1"/>
  <c r="Q8" i="7"/>
  <c r="O8" i="7"/>
  <c r="N7" i="7"/>
  <c r="L7" i="7"/>
  <c r="O7" i="7" s="1"/>
  <c r="Q7" i="7" s="1"/>
  <c r="H7" i="7"/>
  <c r="O6" i="7"/>
  <c r="Q6" i="7" s="1"/>
  <c r="J5" i="7"/>
  <c r="J11" i="7" s="1"/>
  <c r="J63" i="7" s="1"/>
  <c r="E5" i="7"/>
  <c r="E11" i="7" s="1"/>
  <c r="E63" i="7" s="1"/>
  <c r="D5" i="7"/>
  <c r="D11" i="7" s="1"/>
  <c r="D63" i="7" s="1"/>
  <c r="C5" i="7"/>
  <c r="O5" i="7" s="1"/>
  <c r="I94" i="7" l="1"/>
  <c r="J94" i="7" s="1"/>
  <c r="K94" i="7" s="1"/>
  <c r="L94" i="7" s="1"/>
  <c r="M94" i="7" s="1"/>
  <c r="N94" i="7" s="1"/>
  <c r="O94" i="7" s="1"/>
  <c r="Q5" i="7"/>
  <c r="O11" i="7"/>
  <c r="C85" i="7"/>
  <c r="F91" i="7"/>
  <c r="E106" i="7"/>
  <c r="E81" i="7" s="1"/>
  <c r="F109" i="7"/>
  <c r="E136" i="7"/>
  <c r="E83" i="7" s="1"/>
  <c r="F140" i="7"/>
  <c r="E164" i="7"/>
  <c r="E82" i="7" s="1"/>
  <c r="G77" i="7"/>
  <c r="O77" i="7"/>
  <c r="L11" i="7"/>
  <c r="L63" i="7" s="1"/>
  <c r="H77" i="7"/>
  <c r="D106" i="7"/>
  <c r="D81" i="7" s="1"/>
  <c r="D136" i="7"/>
  <c r="D83" i="7" s="1"/>
  <c r="I77" i="7"/>
  <c r="D164" i="7"/>
  <c r="D82" i="7" s="1"/>
  <c r="D85" i="7" l="1"/>
  <c r="F136" i="7"/>
  <c r="F83" i="7" s="1"/>
  <c r="G109" i="7"/>
  <c r="E85" i="7"/>
  <c r="G91" i="7"/>
  <c r="F106" i="7"/>
  <c r="F81" i="7" s="1"/>
  <c r="O63" i="7"/>
  <c r="Q11" i="7"/>
  <c r="F164" i="7"/>
  <c r="F82" i="7" s="1"/>
  <c r="G140" i="7"/>
  <c r="H91" i="7" l="1"/>
  <c r="G106" i="7"/>
  <c r="G81" i="7" s="1"/>
  <c r="F85" i="7"/>
  <c r="G136" i="7"/>
  <c r="G83" i="7" s="1"/>
  <c r="H109" i="7"/>
  <c r="G164" i="7"/>
  <c r="G82" i="7" s="1"/>
  <c r="H140" i="7"/>
  <c r="I140" i="7" l="1"/>
  <c r="H164" i="7"/>
  <c r="H82" i="7" s="1"/>
  <c r="H136" i="7"/>
  <c r="H83" i="7" s="1"/>
  <c r="I109" i="7"/>
  <c r="G85" i="7"/>
  <c r="H106" i="7"/>
  <c r="H81" i="7" s="1"/>
  <c r="H85" i="7" s="1"/>
  <c r="I91" i="7"/>
  <c r="I106" i="7" l="1"/>
  <c r="I81" i="7" s="1"/>
  <c r="I85" i="7" s="1"/>
  <c r="J91" i="7"/>
  <c r="I136" i="7"/>
  <c r="I83" i="7" s="1"/>
  <c r="J109" i="7"/>
  <c r="J140" i="7"/>
  <c r="I164" i="7"/>
  <c r="I82" i="7" s="1"/>
  <c r="K140" i="7" l="1"/>
  <c r="J164" i="7"/>
  <c r="J82" i="7" s="1"/>
  <c r="J136" i="7"/>
  <c r="J83" i="7" s="1"/>
  <c r="K109" i="7"/>
  <c r="J106" i="7"/>
  <c r="J81" i="7" s="1"/>
  <c r="J85" i="7" s="1"/>
  <c r="K91" i="7"/>
  <c r="L91" i="7" l="1"/>
  <c r="K106" i="7"/>
  <c r="K81" i="7" s="1"/>
  <c r="L109" i="7"/>
  <c r="K136" i="7"/>
  <c r="K83" i="7" s="1"/>
  <c r="L140" i="7"/>
  <c r="K164" i="7"/>
  <c r="K82" i="7" s="1"/>
  <c r="M140" i="7" l="1"/>
  <c r="L164" i="7"/>
  <c r="L82" i="7" s="1"/>
  <c r="M109" i="7"/>
  <c r="L136" i="7"/>
  <c r="L83" i="7" s="1"/>
  <c r="K85" i="7"/>
  <c r="M91" i="7"/>
  <c r="L106" i="7"/>
  <c r="L81" i="7" s="1"/>
  <c r="L85" i="7" s="1"/>
  <c r="N91" i="7" l="1"/>
  <c r="M106" i="7"/>
  <c r="M81" i="7" s="1"/>
  <c r="N109" i="7"/>
  <c r="M136" i="7"/>
  <c r="M83" i="7" s="1"/>
  <c r="N140" i="7"/>
  <c r="M164" i="7"/>
  <c r="M82" i="7" s="1"/>
  <c r="N164" i="7" l="1"/>
  <c r="N82" i="7" s="1"/>
  <c r="O140" i="7"/>
  <c r="O164" i="7" s="1"/>
  <c r="O82" i="7" s="1"/>
  <c r="N136" i="7"/>
  <c r="N83" i="7" s="1"/>
  <c r="O109" i="7"/>
  <c r="O136" i="7" s="1"/>
  <c r="O83" i="7" s="1"/>
  <c r="M85" i="7"/>
  <c r="O91" i="7"/>
  <c r="O106" i="7" s="1"/>
  <c r="O81" i="7" s="1"/>
  <c r="N106" i="7"/>
  <c r="N81" i="7" s="1"/>
  <c r="N85" i="7" l="1"/>
  <c r="O8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4D4857BB-FDBD-413E-804F-2B11D7EBA8E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$18580 from pledges received before June 1, 2021</t>
        </r>
      </text>
    </comment>
    <comment ref="D5" authorId="0" shapeId="0" xr:uid="{D1EFC8A0-B32D-401B-B80C-84317AF2F0F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$71.61 from Paypal</t>
        </r>
      </text>
    </comment>
    <comment ref="E5" authorId="0" shapeId="0" xr:uid="{7C37A55F-809D-490C-B82B-C4371EAB227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$32.49 Amazon Smile
</t>
        </r>
      </text>
    </comment>
    <comment ref="G5" authorId="0" shapeId="0" xr:uid="{06B341E1-5D88-4DA8-9845-68A1C8961AC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$125.25 from PayPal</t>
        </r>
      </text>
    </comment>
    <comment ref="A7" authorId="1" shapeId="0" xr:uid="{847C15D4-EA44-419E-8266-3C471B764800}">
      <text>
        <r>
          <rPr>
            <sz val="10"/>
            <color rgb="FF000000"/>
            <rFont val="Arial1"/>
          </rPr>
          <t>Cards, auction and others</t>
        </r>
      </text>
    </comment>
    <comment ref="H7" authorId="0" shapeId="0" xr:uid="{67089C39-37B3-4B04-B9C1-563829623AB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Auction, $33.40 from Amazon Smile</t>
        </r>
      </text>
    </comment>
    <comment ref="L7" authorId="0" shapeId="0" xr:uid="{C127EF58-F928-4CEF-BAFE-5182F535FBD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$3000 from Grocery cards, $55 from Auction, $48.89 from Amazon Smile</t>
        </r>
      </text>
    </comment>
    <comment ref="N7" authorId="0" shapeId="0" xr:uid="{58398FF3-513C-4278-A4CE-6023A85B1BC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$40.45 from Amazon Smile, $100 from Auction</t>
        </r>
      </text>
    </comment>
    <comment ref="H9" authorId="0" shapeId="0" xr:uid="{10B68DD8-8B62-4909-876D-01F3E208670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Dividend from Church Mutual</t>
        </r>
      </text>
    </comment>
    <comment ref="J9" authorId="0" shapeId="0" xr:uid="{CCB38894-C2C8-430E-847E-C57F39E974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UMC Retreat Res Refund</t>
        </r>
      </text>
    </comment>
    <comment ref="C10" authorId="0" shapeId="0" xr:uid="{3420649D-CF7A-4D11-AAD6-9C7774FB5EB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$1437 transferred from Endowment Designated Fund</t>
        </r>
      </text>
    </comment>
    <comment ref="D10" authorId="0" shapeId="0" xr:uid="{6B48B500-5C0F-4A22-9AFB-A2B362F5F9B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Vanguard
$33.38 from PayPal as gifts</t>
        </r>
      </text>
    </comment>
    <comment ref="H10" authorId="0" shapeId="0" xr:uid="{DA7923A1-5940-4C63-A03D-BE95654156D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$45 from Paypal</t>
        </r>
      </text>
    </comment>
    <comment ref="J10" authorId="0" shapeId="0" xr:uid="{08C84AF5-7856-41B4-A1A0-62CAE49C17C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+$66.02 from Paypal + $400 from Everhart</t>
        </r>
      </text>
    </comment>
    <comment ref="L10" authorId="0" shapeId="0" xr:uid="{5D4C1ED1-C946-4B58-9B3F-F7239801AF0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PayPal</t>
        </r>
      </text>
    </comment>
    <comment ref="K17" authorId="0" shapeId="0" xr:uid="{2B253619-E305-44E2-A6AB-4E0A226E4E3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for Pest Control</t>
        </r>
      </text>
    </comment>
    <comment ref="K21" authorId="0" shapeId="0" xr:uid="{3CD88983-EFCE-442B-8C7B-EDECB42E979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$236.52 for SquareSpace</t>
        </r>
      </text>
    </comment>
    <comment ref="N24" authorId="0" shapeId="0" xr:uid="{AEC8E28D-9F7D-4991-9914-FEF4DDCCF44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and Microsoft Office software</t>
        </r>
      </text>
    </comment>
    <comment ref="M27" authorId="0" shapeId="0" xr:uid="{2A14E57F-B1EC-46C5-9BF6-C112B72FDAC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purchased</t>
        </r>
      </text>
    </comment>
    <comment ref="K28" authorId="0" shapeId="0" xr:uid="{D186223D-FDB3-45C9-8574-B1DAB5656E8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$598 for equipment, $98 for COVID tests</t>
        </r>
      </text>
    </comment>
    <comment ref="O28" authorId="0" shapeId="0" xr:uid="{A57F83C9-1E95-4015-9578-116CD9CF1E5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Covid tests were purchased when services started at church</t>
        </r>
      </text>
    </comment>
    <comment ref="F39" authorId="0" shapeId="0" xr:uid="{301BBB85-9336-4859-9467-1C92264D58E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Actria license
</t>
        </r>
      </text>
    </comment>
    <comment ref="K40" authorId="0" shapeId="0" xr:uid="{AB49C615-A224-4B14-9289-C6E7391A110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C91" authorId="1" shapeId="0" xr:uid="{4EBA5A9F-363B-4EAA-8EA2-E439D8570A26}">
      <text>
        <r>
          <rPr>
            <b/>
            <sz val="9"/>
            <color rgb="FF000000"/>
            <rFont val="Arial"/>
            <family val="2"/>
          </rPr>
          <t xml:space="preserve">Deborah Helmer:
</t>
        </r>
        <r>
          <rPr>
            <sz val="9"/>
            <color rgb="FF000000"/>
            <rFont val="Arial"/>
            <family val="2"/>
          </rPr>
          <t>Total includes $5325 raised from auction for playground and deck furniture, and $2000 designated for the deck.</t>
        </r>
      </text>
    </comment>
    <comment ref="M92" authorId="0" shapeId="0" xr:uid="{ED2A619D-E9AA-4928-BEB9-B442223E9F8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Playground equipment</t>
        </r>
      </text>
    </comment>
    <comment ref="N92" authorId="0" shapeId="0" xr:uid="{3E174D6E-8EFD-4899-997C-6C480BFC01B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Part of the playground equipment</t>
        </r>
      </text>
    </comment>
    <comment ref="H95" authorId="0" shapeId="0" xr:uid="{48002405-AE06-4CD7-ABD5-F72BFEE5478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HVAC repair</t>
        </r>
      </text>
    </comment>
    <comment ref="I96" authorId="0" shapeId="0" xr:uid="{7FDF2B67-3F83-41DD-AB3E-F2E6DBD19F3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from Paypal</t>
        </r>
      </text>
    </comment>
    <comment ref="D99" authorId="0" shapeId="0" xr:uid="{112C4B6C-9408-456B-9CAC-9C03196D37D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Remaining amount in the search committee account</t>
        </r>
      </text>
    </comment>
    <comment ref="O105" authorId="0" shapeId="0" xr:uid="{6DC00F67-42E9-44E8-BA9C-05C40859C87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 from budget</t>
        </r>
      </text>
    </comment>
    <comment ref="H123" authorId="0" shapeId="0" xr:uid="{F5CA4FA8-F85C-41A0-8D64-B4267C1984B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Jacqueline Luck</t>
        </r>
      </text>
    </comment>
    <comment ref="K125" authorId="0" shapeId="0" xr:uid="{E95C47F2-E4AC-4F39-95B4-0DAAA45A3AC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AED (Defib) batteries from Joseph Viola</t>
        </r>
      </text>
    </comment>
    <comment ref="O126" authorId="0" shapeId="0" xr:uid="{6174408F-B49A-47C4-B6C6-23407B00F25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fellowship Desig. Fund starting June 2022</t>
        </r>
      </text>
    </comment>
    <comment ref="H135" authorId="0" shapeId="0" xr:uid="{9E649F83-D9D2-4CF7-936B-407A1150B08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Sam Jones</t>
        </r>
      </text>
    </comment>
    <comment ref="O141" authorId="0" shapeId="0" xr:uid="{C29EC801-AA30-435E-B817-7BA6280B1EE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KOH collected in November</t>
        </r>
      </text>
    </comment>
    <comment ref="I142" authorId="0" shapeId="0" xr:uid="{C4534EAF-D383-4CB0-B29F-184D63145D5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KOH 5th Sunday appeal</t>
        </r>
      </text>
    </comment>
    <comment ref="L142" authorId="0" shapeId="0" xr:uid="{EACF7553-17FB-4576-A104-BE37706E727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JC NAACP</t>
        </r>
      </text>
    </comment>
    <comment ref="M142" authorId="0" shapeId="0" xr:uid="{7B0E3AB9-1CC2-42DF-AB56-581007D22C4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NAACP</t>
        </r>
      </text>
    </comment>
    <comment ref="O145" authorId="0" shapeId="0" xr:uid="{0171DB61-E82B-470D-8411-D7FB597FFBE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5th Sunday collection from November</t>
        </r>
      </text>
    </comment>
    <comment ref="D153" authorId="0" shapeId="0" xr:uid="{D12DCF8B-8048-4271-9829-0D6E0F808C7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Check sent to WETS pledge drive</t>
        </r>
      </text>
    </comment>
    <comment ref="L163" authorId="0" shapeId="0" xr:uid="{A8389A7D-CBB7-4722-BEBF-0239EBEF263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</commentList>
</comments>
</file>

<file path=xl/sharedStrings.xml><?xml version="1.0" encoding="utf-8"?>
<sst xmlns="http://schemas.openxmlformats.org/spreadsheetml/2006/main" count="210" uniqueCount="114">
  <si>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</si>
  <si>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</si>
  <si>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</si>
  <si>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</si>
  <si>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</si>
  <si>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</si>
  <si>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</si>
  <si>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</si>
  <si>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</si>
  <si>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</si>
  <si>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</si>
  <si>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</si>
  <si>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</si>
  <si>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</si>
  <si>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</si>
  <si>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</si>
  <si>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</si>
  <si>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 Plate</t>
  </si>
  <si>
    <t xml:space="preserve">   Fundraisers</t>
  </si>
  <si>
    <t xml:space="preserve">   Interest &amp; Misc</t>
  </si>
  <si>
    <t xml:space="preserve">   Endowment/Gifts</t>
  </si>
  <si>
    <t xml:space="preserve">  TOTAL INCOME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</si>
  <si>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</si>
  <si>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</si>
  <si>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</si>
  <si>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</si>
  <si>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</si>
  <si>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</si>
  <si>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</si>
  <si>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</si>
  <si>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</si>
  <si>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</si>
  <si>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</si>
  <si>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</si>
  <si>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</si>
  <si>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</si>
  <si>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</si>
  <si>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</si>
  <si>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</si>
  <si>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</si>
  <si>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</si>
  <si>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</si>
  <si>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</si>
  <si>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</si>
  <si>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</si>
  <si>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</si>
  <si>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</si>
  <si>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</si>
  <si>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</si>
  <si>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</si>
  <si>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</si>
  <si>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</si>
  <si>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</si>
  <si>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</si>
  <si>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</si>
  <si>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</si>
  <si>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</si>
  <si>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</si>
  <si>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</si>
  <si>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 AND LIABILITIES*</t>
  </si>
  <si>
    <t>ASSETS</t>
  </si>
  <si>
    <t xml:space="preserve">  FIDELITY</t>
  </si>
  <si>
    <t xml:space="preserve">  TOTAL</t>
  </si>
  <si>
    <t>LIABILITIES*</t>
  </si>
  <si>
    <t>LIABILITIES MINUS</t>
  </si>
  <si>
    <t>ASSETS*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</si>
  <si>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</si>
  <si>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</si>
  <si>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</si>
  <si>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</si>
  <si>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</si>
  <si>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</si>
  <si>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</si>
  <si>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</si>
  <si>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</si>
  <si>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</si>
  <si>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</si>
  <si>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</si>
  <si>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</si>
  <si>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</si>
  <si>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Board Discretionary</t>
  </si>
  <si>
    <t>DESIGNATED FUNDS (COMMITTEE/ACTIVITY)</t>
  </si>
  <si>
    <t>WOMEN'S RETRT</t>
  </si>
  <si>
    <t>SENIOR YOUTH</t>
  </si>
  <si>
    <t>expenditures</t>
  </si>
  <si>
    <t>income</t>
  </si>
  <si>
    <t>Summer Camp</t>
  </si>
  <si>
    <t>MUSIC</t>
  </si>
  <si>
    <t>MISC</t>
  </si>
  <si>
    <t xml:space="preserve"> </t>
  </si>
  <si>
    <t>Green Sanctuary</t>
  </si>
  <si>
    <t>Endowment Fund</t>
  </si>
  <si>
    <t>Memorial Wall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</si>
  <si>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</si>
  <si>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</si>
  <si>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</si>
  <si>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</si>
  <si>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</si>
  <si>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</si>
  <si>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</si>
  <si>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</si>
  <si>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</si>
  <si>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RE</t>
  </si>
  <si>
    <t>Memorial Reception</t>
  </si>
  <si>
    <t>Employee Insurance</t>
  </si>
  <si>
    <t>Insurance</t>
  </si>
  <si>
    <t>2022/2023 pledges</t>
  </si>
  <si>
    <t>OPERATING BUDGET (FY 2021-2022)</t>
  </si>
  <si>
    <t>Bldg. use Donations</t>
  </si>
  <si>
    <t xml:space="preserve">  Ist Horizon Checking</t>
  </si>
  <si>
    <t xml:space="preserve">  Ist Horizon Saving</t>
  </si>
  <si>
    <t>Telephone/internet/licenses</t>
  </si>
  <si>
    <t>Miscellaneous</t>
  </si>
  <si>
    <t>SRCH/SABBATICAL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</si>
</sst>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7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0"/>
      <color rgb="FF000000"/>
      <name val="Arial1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0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164" fontId="2" fillId="0" borderId="0">
      <alignment horizontal="center"/>
    </xf>
    <xf numFmtId="0" fontId="3" fillId="0" borderId="0">
      <alignment horizontal="left"/>
    </xf>
    <xf numFmtId="164" fontId="4" fillId="0" borderId="0"/>
    <xf numFmtId="9" fontId="3" fillId="0" borderId="0">
      <alignment horizontal="left"/>
    </xf>
    <xf numFmtId="0" fontId="5" fillId="0" borderId="0">
      <alignment horizontal="center"/>
    </xf>
    <xf numFmtId="0" fontId="5" fillId="0" borderId="0">
      <alignment horizontal="center" textRotation="90"/>
    </xf>
    <xf numFmtId="164" fontId="2" fillId="0" borderId="0">
      <alignment horizontal="center" textRotation="90"/>
    </xf>
    <xf numFmtId="0" fontId="1" fillId="0" borderId="0">
      <alignment horizontal="center" textRotation="90"/>
    </xf>
    <xf numFmtId="164" fontId="1" fillId="0" borderId="0">
      <alignment horizontal="center" textRotation="90"/>
    </xf>
    <xf numFmtId="0" fontId="6" fillId="0" borderId="0"/>
    <xf numFmtId="164" fontId="7" fillId="0" borderId="0"/>
    <xf numFmtId="0" fontId="8" fillId="0" borderId="0"/>
    <xf numFmtId="164" fontId="8" fillId="0" borderId="0"/>
    <xf numFmtId="165" fontId="6" fillId="0" borderId="0"/>
    <xf numFmtId="165" fontId="7" fillId="0" borderId="0"/>
    <xf numFmtId="165" fontId="8" fillId="0" borderId="0"/>
    <xf numFmtId="165" fontId="8" fillId="0" borderId="0"/>
  </cellStyleXfs>
  <cellXfs count="25">
    <xf numFmtId="0" fontId="0" fillId="0" borderId="0" xfId="0"/>
    <xf numFmtId="3" fontId="4" fillId="2" borderId="0" xfId="4" applyNumberFormat="1" applyFont="1" applyFill="1" applyAlignment="1">
      <alignment horizontal="right"/>
    </xf>
    <xf numFmtId="3" fontId="13" fillId="0" borderId="0" xfId="0" applyNumberFormat="1" applyFont="1"/>
    <xf numFmtId="3" fontId="14" fillId="0" borderId="0" xfId="4" applyNumberFormat="1" applyFont="1">
      <alignment horizontal="left"/>
    </xf>
    <xf numFmtId="3" fontId="14" fillId="0" borderId="0" xfId="4" applyNumberFormat="1" applyFont="1" applyAlignment="1">
      <alignment horizontal="right"/>
    </xf>
    <xf numFmtId="3" fontId="14" fillId="0" borderId="1" xfId="4" applyNumberFormat="1" applyFont="1" applyBorder="1" applyAlignment="1">
      <alignment horizontal="right"/>
    </xf>
    <xf numFmtId="3" fontId="14" fillId="0" borderId="0" xfId="4" applyNumberFormat="1" applyFont="1" applyAlignment="1"/>
    <xf numFmtId="9" fontId="14" fillId="0" borderId="0" xfId="4" applyNumberFormat="1" applyFont="1" applyAlignment="1">
      <alignment horizontal="right"/>
    </xf>
    <xf numFmtId="3" fontId="4" fillId="0" borderId="0" xfId="4" applyNumberFormat="1" applyFont="1">
      <alignment horizontal="left"/>
    </xf>
    <xf numFmtId="3" fontId="4" fillId="0" borderId="0" xfId="4" applyNumberFormat="1" applyFont="1" applyAlignment="1">
      <alignment horizontal="right"/>
    </xf>
    <xf numFmtId="3" fontId="4" fillId="0" borderId="1" xfId="4" applyNumberFormat="1" applyFont="1" applyBorder="1" applyAlignment="1">
      <alignment horizontal="right"/>
    </xf>
    <xf numFmtId="3" fontId="4" fillId="0" borderId="0" xfId="4" applyNumberFormat="1" applyFont="1" applyAlignment="1"/>
    <xf numFmtId="9" fontId="4" fillId="0" borderId="0" xfId="4" applyNumberFormat="1" applyFont="1" applyAlignment="1">
      <alignment horizontal="right"/>
    </xf>
    <xf numFmtId="3" fontId="15" fillId="0" borderId="0" xfId="4" applyNumberFormat="1" applyFont="1">
      <alignment horizontal="left"/>
    </xf>
    <xf numFmtId="3" fontId="3" fillId="0" borderId="0" xfId="4" applyNumberFormat="1">
      <alignment horizontal="left"/>
    </xf>
    <xf numFmtId="3" fontId="4" fillId="0" borderId="0" xfId="4" applyNumberFormat="1" applyFont="1">
      <alignment horizontal="left"/>
    </xf>
    <xf numFmtId="9" fontId="14" fillId="0" borderId="0" xfId="4" applyNumberFormat="1" applyFont="1">
      <alignment horizontal="left"/>
    </xf>
    <xf numFmtId="3" fontId="16" fillId="0" borderId="0" xfId="4" applyNumberFormat="1" applyFont="1">
      <alignment horizontal="left"/>
    </xf>
    <xf numFmtId="3" fontId="7" fillId="0" borderId="0" xfId="4" applyNumberFormat="1" applyFont="1">
      <alignment horizontal="left"/>
    </xf>
    <xf numFmtId="9" fontId="4" fillId="0" borderId="0" xfId="4" applyNumberFormat="1" applyFont="1">
      <alignment horizontal="left"/>
    </xf>
    <xf numFmtId="3" fontId="4" fillId="0" borderId="1" xfId="4" applyNumberFormat="1" applyFont="1" applyBorder="1">
      <alignment horizontal="left"/>
    </xf>
    <xf numFmtId="3" fontId="14" fillId="0" borderId="2" xfId="4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4" fillId="2" borderId="3" xfId="4" applyNumberFormat="1" applyFont="1" applyFill="1" applyBorder="1" applyAlignment="1">
      <alignment horizontal="right"/>
    </xf>
    <xf numFmtId="3" fontId="4" fillId="0" borderId="0" xfId="4" applyNumberFormat="1" applyFont="1" applyAlignment="1">
      <alignment horizontal="left" indent="1"/>
    </xf>
  </cellXfs>
  <cellStyles count="20">
    <cellStyle name="Excel Built-in Heading 1" xfId="2" xr:uid="{00000000-0005-0000-0000-000000000000}"/>
    <cellStyle name="Excel Built-in Heading 1 1" xfId="3" xr:uid="{00000000-0005-0000-0000-000001000000}"/>
    <cellStyle name="Excel Built-in Normal 1" xfId="4" xr:uid="{00000000-0005-0000-0000-000002000000}"/>
    <cellStyle name="Excel Built-in Normal 2" xfId="5" xr:uid="{00000000-0005-0000-0000-000003000000}"/>
    <cellStyle name="Excel Built-in Percent" xfId="6" xr:uid="{00000000-0005-0000-0000-000004000000}"/>
    <cellStyle name="Heading" xfId="7" xr:uid="{00000000-0005-0000-0000-000005000000}"/>
    <cellStyle name="Heading 1" xfId="1" builtinId="16" customBuiltin="1"/>
    <cellStyle name="Heading1" xfId="8" xr:uid="{00000000-0005-0000-0000-000007000000}"/>
    <cellStyle name="Heading1 1" xfId="9" xr:uid="{00000000-0005-0000-0000-000008000000}"/>
    <cellStyle name="Heading1 2" xfId="10" xr:uid="{00000000-0005-0000-0000-000009000000}"/>
    <cellStyle name="Heading1 3" xfId="11" xr:uid="{00000000-0005-0000-0000-00000A000000}"/>
    <cellStyle name="Normal" xfId="0" builtinId="0" customBuiltin="1"/>
    <cellStyle name="Result" xfId="12" xr:uid="{00000000-0005-0000-0000-00000C000000}"/>
    <cellStyle name="Result 1" xfId="13" xr:uid="{00000000-0005-0000-0000-00000D000000}"/>
    <cellStyle name="Result 2" xfId="14" xr:uid="{00000000-0005-0000-0000-00000E000000}"/>
    <cellStyle name="Result 3" xfId="15" xr:uid="{00000000-0005-0000-0000-00000F000000}"/>
    <cellStyle name="Result2" xfId="16" xr:uid="{00000000-0005-0000-0000-000010000000}"/>
    <cellStyle name="Result2 1" xfId="17" xr:uid="{00000000-0005-0000-0000-000011000000}"/>
    <cellStyle name="Result2 2" xfId="18" xr:uid="{00000000-0005-0000-0000-000012000000}"/>
    <cellStyle name="Result2 3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FA6A-412D-4541-90E7-80E446BEF5C9}">
  <sheetPr>
    <pageSetUpPr fitToPage="1"/>
  </sheetPr>
  <dimension ref="A1:AMJ169"/>
  <sheetViews>
    <sheetView tabSelected="1" topLeftCell="A37" zoomScale="110" zoomScaleNormal="110" workbookViewId="0">
      <selection activeCell="L87" sqref="L87"/>
    </sheetView>
  </sheetViews>
  <sheetFormatPr defaultRowHeight="13.8"/>
  <cols>
    <col min="1" max="1" width="8.796875" style="8"/>
    <col min="2" max="2" width="12.19921875" style="8" customWidth="1"/>
    <col min="3" max="14" width="9.296875" style="9" customWidth="1"/>
    <col min="15" max="15" width="9.8984375" style="11" customWidth="1"/>
    <col min="16" max="16" width="10.59765625" style="9" customWidth="1"/>
    <col min="17" max="17" width="7.796875" style="12" customWidth="1"/>
    <col min="18" max="1023" width="8.796875" style="8"/>
    <col min="1024" max="1024" width="9.5" style="8" customWidth="1"/>
    <col min="1025" max="16384" width="8.796875" style="2"/>
  </cols>
  <sheetData>
    <row r="1" spans="1:17">
      <c r="A1" s="3" t="s">
        <v>107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6"/>
      <c r="P1" s="4"/>
      <c r="Q1" s="7"/>
    </row>
    <row r="2" spans="1:17"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5" t="s">
        <v>10</v>
      </c>
      <c r="N2" s="4" t="s">
        <v>11</v>
      </c>
      <c r="O2" s="6" t="s">
        <v>12</v>
      </c>
      <c r="P2" s="4" t="s">
        <v>13</v>
      </c>
      <c r="Q2" s="7" t="s">
        <v>14</v>
      </c>
    </row>
    <row r="3" spans="1:17">
      <c r="A3" s="3" t="s">
        <v>15</v>
      </c>
      <c r="M3" s="10"/>
    </row>
    <row r="4" spans="1:17">
      <c r="A4" s="3"/>
      <c r="M4" s="10"/>
    </row>
    <row r="5" spans="1:17">
      <c r="A5" s="8" t="s">
        <v>16</v>
      </c>
      <c r="C5" s="9">
        <f>24378.72</f>
        <v>24378.720000000001</v>
      </c>
      <c r="D5" s="9">
        <f>7092.3+71.61</f>
        <v>7163.91</v>
      </c>
      <c r="E5" s="9">
        <f>32.49+727+3529.3</f>
        <v>4288.79</v>
      </c>
      <c r="F5" s="9">
        <v>2086</v>
      </c>
      <c r="G5" s="9">
        <v>11906.85</v>
      </c>
      <c r="H5" s="9">
        <v>11096.3</v>
      </c>
      <c r="I5" s="9">
        <v>21001.3</v>
      </c>
      <c r="J5" s="9">
        <f>7901+571</f>
        <v>8472</v>
      </c>
      <c r="K5" s="9">
        <v>10137.299999999999</v>
      </c>
      <c r="L5" s="9">
        <v>30653.52</v>
      </c>
      <c r="M5" s="10">
        <v>8180.04</v>
      </c>
      <c r="N5" s="9">
        <v>7035.08</v>
      </c>
      <c r="O5" s="11">
        <f>SUM(C5:N5)</f>
        <v>146399.81</v>
      </c>
      <c r="P5" s="9">
        <v>148061</v>
      </c>
      <c r="Q5" s="12">
        <f>O5/P5</f>
        <v>0.98878036755121201</v>
      </c>
    </row>
    <row r="6" spans="1:17">
      <c r="A6" s="8" t="s">
        <v>17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205</v>
      </c>
      <c r="M6" s="10">
        <v>303</v>
      </c>
      <c r="N6" s="9">
        <v>595.85</v>
      </c>
      <c r="O6" s="11">
        <f t="shared" ref="O6:O10" si="0">SUM(C6:N6)</f>
        <v>1103.8499999999999</v>
      </c>
      <c r="P6" s="9">
        <v>3000</v>
      </c>
      <c r="Q6" s="12">
        <f t="shared" ref="Q6:Q11" si="1">O6/P6</f>
        <v>0.36794999999999994</v>
      </c>
    </row>
    <row r="7" spans="1:17">
      <c r="A7" s="8" t="s">
        <v>18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f>7872+33.4</f>
        <v>7905.4</v>
      </c>
      <c r="I7" s="9">
        <v>3097.02</v>
      </c>
      <c r="J7" s="9">
        <v>0</v>
      </c>
      <c r="K7" s="9">
        <v>225</v>
      </c>
      <c r="L7" s="9">
        <f>55+3000+48.89</f>
        <v>3103.89</v>
      </c>
      <c r="M7" s="10">
        <v>150</v>
      </c>
      <c r="N7" s="9">
        <f>100+40.45</f>
        <v>140.44999999999999</v>
      </c>
      <c r="O7" s="11">
        <f t="shared" si="0"/>
        <v>14621.76</v>
      </c>
      <c r="P7" s="9">
        <v>10000</v>
      </c>
      <c r="Q7" s="12">
        <f t="shared" si="1"/>
        <v>1.4621759999999999</v>
      </c>
    </row>
    <row r="8" spans="1:17">
      <c r="A8" s="8" t="s">
        <v>108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0">
        <v>0</v>
      </c>
      <c r="O8" s="11">
        <f t="shared" si="0"/>
        <v>0</v>
      </c>
      <c r="P8" s="9">
        <v>0</v>
      </c>
      <c r="Q8" s="12" t="e">
        <f t="shared" si="1"/>
        <v>#DIV/0!</v>
      </c>
    </row>
    <row r="9" spans="1:17">
      <c r="A9" s="8" t="s">
        <v>19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164</v>
      </c>
      <c r="I9" s="9">
        <v>0</v>
      </c>
      <c r="J9" s="9">
        <v>250</v>
      </c>
      <c r="K9" s="9">
        <v>0</v>
      </c>
      <c r="L9" s="9">
        <v>0</v>
      </c>
      <c r="M9" s="10">
        <v>0</v>
      </c>
      <c r="O9" s="11">
        <f t="shared" si="0"/>
        <v>414</v>
      </c>
      <c r="P9" s="9">
        <v>0</v>
      </c>
      <c r="Q9" s="12" t="e">
        <f t="shared" si="1"/>
        <v>#DIV/0!</v>
      </c>
    </row>
    <row r="10" spans="1:17">
      <c r="A10" s="8" t="s">
        <v>20</v>
      </c>
      <c r="C10" s="9">
        <v>1437</v>
      </c>
      <c r="D10" s="9">
        <f>2991+10+25</f>
        <v>3026</v>
      </c>
      <c r="E10" s="9">
        <v>210</v>
      </c>
      <c r="F10" s="9">
        <v>130</v>
      </c>
      <c r="G10" s="9">
        <v>0</v>
      </c>
      <c r="H10" s="9">
        <f>135+45</f>
        <v>180</v>
      </c>
      <c r="I10" s="9">
        <v>170</v>
      </c>
      <c r="J10" s="9">
        <f>66.02+400</f>
        <v>466.02</v>
      </c>
      <c r="K10" s="9">
        <v>0</v>
      </c>
      <c r="L10" s="9">
        <v>433.01</v>
      </c>
      <c r="M10" s="10">
        <v>0</v>
      </c>
      <c r="N10" s="9">
        <v>121.12</v>
      </c>
      <c r="O10" s="11">
        <f t="shared" si="0"/>
        <v>6173.1500000000005</v>
      </c>
      <c r="P10" s="9">
        <v>4000</v>
      </c>
      <c r="Q10" s="12">
        <f t="shared" si="1"/>
        <v>1.5432875000000001</v>
      </c>
    </row>
    <row r="11" spans="1:17" s="8" customFormat="1">
      <c r="A11" s="13" t="s">
        <v>21</v>
      </c>
      <c r="C11" s="9">
        <f t="shared" ref="C11:O11" si="2">SUM(C5:C10)</f>
        <v>25815.72</v>
      </c>
      <c r="D11" s="9">
        <f t="shared" si="2"/>
        <v>10189.91</v>
      </c>
      <c r="E11" s="9">
        <f t="shared" si="2"/>
        <v>4498.79</v>
      </c>
      <c r="F11" s="9">
        <f t="shared" si="2"/>
        <v>2216</v>
      </c>
      <c r="G11" s="9">
        <f t="shared" si="2"/>
        <v>11906.85</v>
      </c>
      <c r="H11" s="9">
        <f t="shared" si="2"/>
        <v>19345.699999999997</v>
      </c>
      <c r="I11" s="9">
        <f>SUM(I5:I10)</f>
        <v>24268.32</v>
      </c>
      <c r="J11" s="9">
        <f t="shared" si="2"/>
        <v>9188.02</v>
      </c>
      <c r="K11" s="9">
        <f t="shared" si="2"/>
        <v>10362.299999999999</v>
      </c>
      <c r="L11" s="9">
        <f t="shared" si="2"/>
        <v>34395.420000000006</v>
      </c>
      <c r="M11" s="10">
        <f t="shared" si="2"/>
        <v>8633.0400000000009</v>
      </c>
      <c r="N11" s="9">
        <f t="shared" si="2"/>
        <v>7892.5</v>
      </c>
      <c r="O11" s="6">
        <f t="shared" si="2"/>
        <v>168712.57</v>
      </c>
      <c r="P11" s="4">
        <f>SUM(P5:P10)</f>
        <v>165061</v>
      </c>
      <c r="Q11" s="7">
        <f t="shared" si="1"/>
        <v>1.0221225486335355</v>
      </c>
    </row>
    <row r="12" spans="1:17" s="8" customFormat="1">
      <c r="A12" s="8" t="s">
        <v>106</v>
      </c>
      <c r="C12" s="9"/>
      <c r="D12" s="9"/>
      <c r="E12" s="9"/>
      <c r="F12" s="9"/>
      <c r="G12" s="9"/>
      <c r="H12" s="9"/>
      <c r="I12" s="9"/>
      <c r="J12" s="9">
        <v>2500</v>
      </c>
      <c r="K12" s="9"/>
      <c r="L12" s="9">
        <v>5780</v>
      </c>
      <c r="M12" s="10">
        <v>8300</v>
      </c>
      <c r="N12" s="9">
        <v>5162</v>
      </c>
      <c r="O12" s="6"/>
      <c r="P12" s="4"/>
      <c r="Q12" s="7"/>
    </row>
    <row r="13" spans="1:17" s="8" customFormat="1"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9"/>
      <c r="O13" s="11"/>
      <c r="P13" s="9"/>
      <c r="Q13" s="12"/>
    </row>
    <row r="14" spans="1:17" s="8" customFormat="1">
      <c r="A14" s="3" t="s">
        <v>22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9"/>
      <c r="O14" s="6"/>
      <c r="P14" s="9"/>
      <c r="Q14" s="12"/>
    </row>
    <row r="15" spans="1:17" s="8" customFormat="1"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6"/>
      <c r="P15" s="9"/>
      <c r="Q15" s="12"/>
    </row>
    <row r="16" spans="1:17" s="8" customFormat="1">
      <c r="A16" s="3" t="s">
        <v>23</v>
      </c>
      <c r="B16" s="3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9"/>
      <c r="O16" s="6"/>
      <c r="P16" s="9"/>
      <c r="Q16" s="12"/>
    </row>
    <row r="17" spans="1:17" s="8" customFormat="1">
      <c r="A17" s="8" t="s">
        <v>24</v>
      </c>
      <c r="C17" s="9">
        <v>18.5</v>
      </c>
      <c r="D17" s="9">
        <v>196.03</v>
      </c>
      <c r="E17" s="9">
        <v>903.47</v>
      </c>
      <c r="F17" s="9">
        <v>38.42</v>
      </c>
      <c r="G17" s="9">
        <v>18.5</v>
      </c>
      <c r="H17" s="9">
        <v>268.16000000000003</v>
      </c>
      <c r="I17" s="9">
        <v>18.5</v>
      </c>
      <c r="J17" s="9">
        <v>433.31</v>
      </c>
      <c r="K17" s="9">
        <v>556.22</v>
      </c>
      <c r="L17" s="9">
        <v>18.5</v>
      </c>
      <c r="M17" s="10">
        <v>232.7</v>
      </c>
      <c r="N17" s="9">
        <v>18.5</v>
      </c>
      <c r="O17" s="11">
        <f t="shared" ref="O17:O24" si="3">SUM(C17:N17)</f>
        <v>2720.81</v>
      </c>
      <c r="P17" s="9">
        <v>3000</v>
      </c>
      <c r="Q17" s="12">
        <f t="shared" ref="Q17:Q24" si="4">O17/P17</f>
        <v>0.90693666666666661</v>
      </c>
    </row>
    <row r="18" spans="1:17" s="8" customFormat="1">
      <c r="A18" s="8" t="s">
        <v>25</v>
      </c>
      <c r="C18" s="9">
        <v>500</v>
      </c>
      <c r="D18" s="9">
        <v>400</v>
      </c>
      <c r="E18" s="9">
        <v>400</v>
      </c>
      <c r="F18" s="9">
        <v>400</v>
      </c>
      <c r="G18" s="9">
        <v>0</v>
      </c>
      <c r="H18" s="9">
        <v>400</v>
      </c>
      <c r="I18" s="9">
        <v>0</v>
      </c>
      <c r="J18" s="9">
        <v>0</v>
      </c>
      <c r="K18" s="9">
        <v>0</v>
      </c>
      <c r="L18" s="9">
        <v>0</v>
      </c>
      <c r="M18" s="10">
        <v>0</v>
      </c>
      <c r="N18" s="9">
        <v>550</v>
      </c>
      <c r="O18" s="11">
        <f t="shared" si="3"/>
        <v>2650</v>
      </c>
      <c r="P18" s="9">
        <v>3000</v>
      </c>
      <c r="Q18" s="12">
        <f t="shared" si="4"/>
        <v>0.8833333333333333</v>
      </c>
    </row>
    <row r="19" spans="1:17" s="8" customFormat="1">
      <c r="A19" s="8" t="s">
        <v>26</v>
      </c>
      <c r="C19" s="9">
        <v>0</v>
      </c>
      <c r="D19" s="9">
        <v>0</v>
      </c>
      <c r="E19" s="9">
        <v>0</v>
      </c>
      <c r="F19" s="9">
        <v>0</v>
      </c>
      <c r="G19" s="9">
        <v>5887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0">
        <v>0</v>
      </c>
      <c r="N19" s="9">
        <v>0</v>
      </c>
      <c r="O19" s="11">
        <f t="shared" si="3"/>
        <v>5887</v>
      </c>
      <c r="P19" s="9">
        <v>5311</v>
      </c>
      <c r="Q19" s="12">
        <f t="shared" si="4"/>
        <v>1.1084541517604971</v>
      </c>
    </row>
    <row r="20" spans="1:17" s="8" customFormat="1">
      <c r="A20" s="8" t="s">
        <v>27</v>
      </c>
      <c r="C20" s="9">
        <v>300</v>
      </c>
      <c r="D20" s="9">
        <v>0</v>
      </c>
      <c r="E20" s="9">
        <v>0</v>
      </c>
      <c r="F20" s="9">
        <v>0</v>
      </c>
      <c r="G20" s="9">
        <v>0</v>
      </c>
      <c r="H20" s="9">
        <v>435.93</v>
      </c>
      <c r="I20" s="9">
        <v>1453.1</v>
      </c>
      <c r="J20" s="9">
        <v>0</v>
      </c>
      <c r="K20" s="9">
        <v>726.55</v>
      </c>
      <c r="L20" s="9">
        <v>726.55</v>
      </c>
      <c r="M20" s="10">
        <v>726.55</v>
      </c>
      <c r="N20" s="9">
        <v>726.55</v>
      </c>
      <c r="O20" s="11">
        <f t="shared" si="3"/>
        <v>5095.2300000000005</v>
      </c>
      <c r="P20" s="9">
        <v>8500</v>
      </c>
      <c r="Q20" s="12">
        <f t="shared" si="4"/>
        <v>0.5994388235294118</v>
      </c>
    </row>
    <row r="21" spans="1:17" s="8" customFormat="1">
      <c r="A21" s="14" t="s">
        <v>111</v>
      </c>
      <c r="C21" s="9">
        <v>218.49</v>
      </c>
      <c r="D21" s="9">
        <v>218.34</v>
      </c>
      <c r="E21" s="9">
        <v>218.34</v>
      </c>
      <c r="F21" s="9">
        <v>217.98</v>
      </c>
      <c r="G21" s="9">
        <v>230.79</v>
      </c>
      <c r="H21" s="9">
        <v>203.4</v>
      </c>
      <c r="I21" s="9">
        <v>217.35</v>
      </c>
      <c r="J21" s="9">
        <v>216.72</v>
      </c>
      <c r="K21" s="9">
        <v>453.24</v>
      </c>
      <c r="L21" s="9">
        <v>867.09</v>
      </c>
      <c r="M21" s="10">
        <v>273.38</v>
      </c>
      <c r="N21" s="9">
        <v>216.45</v>
      </c>
      <c r="O21" s="11">
        <f t="shared" si="3"/>
        <v>3551.57</v>
      </c>
      <c r="P21" s="9">
        <v>3470</v>
      </c>
      <c r="Q21" s="12">
        <f t="shared" si="4"/>
        <v>1.023507204610951</v>
      </c>
    </row>
    <row r="22" spans="1:17" s="8" customFormat="1">
      <c r="A22" s="8" t="s">
        <v>28</v>
      </c>
      <c r="C22" s="9">
        <v>166.18</v>
      </c>
      <c r="D22" s="9">
        <v>197.8</v>
      </c>
      <c r="E22" s="9">
        <v>233.89</v>
      </c>
      <c r="F22" s="9">
        <v>261.52999999999997</v>
      </c>
      <c r="G22" s="9">
        <v>271.17</v>
      </c>
      <c r="H22" s="9">
        <v>215.64</v>
      </c>
      <c r="I22" s="9">
        <v>206.74</v>
      </c>
      <c r="J22" s="9">
        <v>324.82</v>
      </c>
      <c r="K22" s="9">
        <v>399.19</v>
      </c>
      <c r="L22" s="9">
        <v>426.2</v>
      </c>
      <c r="M22" s="10">
        <v>306.82</v>
      </c>
      <c r="N22" s="9">
        <v>235.19</v>
      </c>
      <c r="O22" s="11">
        <f t="shared" si="3"/>
        <v>3245.17</v>
      </c>
      <c r="P22" s="9">
        <v>4500</v>
      </c>
      <c r="Q22" s="12">
        <f t="shared" si="4"/>
        <v>0.72114888888888895</v>
      </c>
    </row>
    <row r="23" spans="1:17" s="8" customFormat="1">
      <c r="A23" s="8" t="s">
        <v>29</v>
      </c>
      <c r="C23" s="9">
        <v>81.75</v>
      </c>
      <c r="D23" s="9">
        <v>81.75</v>
      </c>
      <c r="E23" s="9">
        <v>81.75</v>
      </c>
      <c r="F23" s="9">
        <v>81.75</v>
      </c>
      <c r="G23" s="9">
        <v>81.75</v>
      </c>
      <c r="H23" s="9">
        <v>388.11</v>
      </c>
      <c r="I23" s="9">
        <v>81.75</v>
      </c>
      <c r="J23" s="9">
        <v>81.75</v>
      </c>
      <c r="K23" s="9">
        <v>81.7</v>
      </c>
      <c r="L23" s="9">
        <v>81.8</v>
      </c>
      <c r="M23" s="10">
        <v>163.5</v>
      </c>
      <c r="N23" s="9">
        <v>0</v>
      </c>
      <c r="O23" s="11">
        <f t="shared" si="3"/>
        <v>1287.3599999999999</v>
      </c>
      <c r="P23" s="9">
        <v>1300</v>
      </c>
      <c r="Q23" s="12">
        <f t="shared" si="4"/>
        <v>0.99027692307692305</v>
      </c>
    </row>
    <row r="24" spans="1:17" s="8" customFormat="1">
      <c r="A24" s="8" t="s">
        <v>30</v>
      </c>
      <c r="C24" s="9">
        <v>108</v>
      </c>
      <c r="D24" s="9">
        <v>0</v>
      </c>
      <c r="E24" s="9">
        <v>68.06</v>
      </c>
      <c r="F24" s="9">
        <v>16.43</v>
      </c>
      <c r="G24" s="9">
        <v>0</v>
      </c>
      <c r="H24" s="9">
        <v>58</v>
      </c>
      <c r="I24" s="9">
        <v>54.21</v>
      </c>
      <c r="J24" s="9">
        <v>0</v>
      </c>
      <c r="K24" s="9">
        <v>334.75</v>
      </c>
      <c r="L24" s="9">
        <v>0</v>
      </c>
      <c r="M24" s="10">
        <v>346.12</v>
      </c>
      <c r="N24" s="9">
        <v>922.93</v>
      </c>
      <c r="O24" s="11">
        <f t="shared" si="3"/>
        <v>1908.5</v>
      </c>
      <c r="P24" s="9">
        <v>1900</v>
      </c>
      <c r="Q24" s="12">
        <f t="shared" si="4"/>
        <v>1.0044736842105264</v>
      </c>
    </row>
    <row r="25" spans="1:17" s="8" customFormat="1"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9"/>
      <c r="O25" s="11"/>
      <c r="P25" s="9"/>
      <c r="Q25" s="12"/>
    </row>
    <row r="26" spans="1:17" s="8" customFormat="1">
      <c r="A26" s="3" t="s">
        <v>31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9"/>
      <c r="O26" s="6"/>
      <c r="P26" s="9"/>
      <c r="Q26" s="12"/>
    </row>
    <row r="27" spans="1:17" s="8" customFormat="1">
      <c r="A27" s="8" t="s">
        <v>32</v>
      </c>
      <c r="C27" s="9">
        <v>0</v>
      </c>
      <c r="D27" s="9">
        <v>0</v>
      </c>
      <c r="E27" s="9">
        <v>0</v>
      </c>
      <c r="F27" s="9">
        <v>0</v>
      </c>
      <c r="G27" s="9">
        <v>37.93</v>
      </c>
      <c r="H27" s="9">
        <v>223.33</v>
      </c>
      <c r="I27" s="9">
        <v>0</v>
      </c>
      <c r="J27" s="9">
        <v>0</v>
      </c>
      <c r="K27" s="9">
        <v>25.86</v>
      </c>
      <c r="L27" s="9">
        <v>0</v>
      </c>
      <c r="M27" s="10">
        <v>1032.73</v>
      </c>
      <c r="N27" s="9">
        <v>252.65</v>
      </c>
      <c r="O27" s="11">
        <f>SUM(C27:N27)</f>
        <v>1572.5</v>
      </c>
      <c r="P27" s="9">
        <v>2440</v>
      </c>
      <c r="Q27" s="12">
        <f>O27/P27</f>
        <v>0.64446721311475408</v>
      </c>
    </row>
    <row r="28" spans="1:17" s="8" customFormat="1">
      <c r="A28" s="8" t="s">
        <v>33</v>
      </c>
      <c r="C28" s="9">
        <v>750</v>
      </c>
      <c r="D28" s="9">
        <v>0</v>
      </c>
      <c r="E28" s="9">
        <v>100</v>
      </c>
      <c r="F28" s="9">
        <v>23.55</v>
      </c>
      <c r="G28" s="9">
        <v>0</v>
      </c>
      <c r="H28" s="9">
        <v>250</v>
      </c>
      <c r="I28" s="9">
        <v>250</v>
      </c>
      <c r="J28" s="9">
        <v>250</v>
      </c>
      <c r="K28" s="9">
        <v>946.34</v>
      </c>
      <c r="L28" s="9">
        <v>386.14</v>
      </c>
      <c r="M28" s="10">
        <v>10.9</v>
      </c>
      <c r="N28" s="9">
        <v>246.96</v>
      </c>
      <c r="O28" s="11">
        <f>SUM(C28:N28)</f>
        <v>3213.89</v>
      </c>
      <c r="P28" s="9">
        <v>3000</v>
      </c>
      <c r="Q28" s="12">
        <f>O28/P28</f>
        <v>1.0712966666666666</v>
      </c>
    </row>
    <row r="29" spans="1:17" s="8" customFormat="1">
      <c r="A29" s="8" t="s">
        <v>34</v>
      </c>
      <c r="C29" s="9">
        <v>1185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0</v>
      </c>
      <c r="N29" s="9">
        <v>0</v>
      </c>
      <c r="O29" s="11">
        <f>SUM(C29:N29)</f>
        <v>1185</v>
      </c>
      <c r="P29" s="9">
        <v>1185</v>
      </c>
      <c r="Q29" s="12">
        <f>O29/P29</f>
        <v>1</v>
      </c>
    </row>
    <row r="30" spans="1:17" s="8" customFormat="1">
      <c r="A30" s="15" t="s">
        <v>35</v>
      </c>
      <c r="B30" s="15"/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>
        <v>0</v>
      </c>
      <c r="N30" s="9">
        <v>0</v>
      </c>
      <c r="O30" s="11">
        <f>SUM(C30:N30)</f>
        <v>0</v>
      </c>
      <c r="P30" s="9">
        <v>100</v>
      </c>
      <c r="Q30" s="12">
        <f>O30/P30</f>
        <v>0</v>
      </c>
    </row>
    <row r="31" spans="1:17" s="8" customFormat="1"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9"/>
      <c r="O31" s="11"/>
      <c r="P31" s="9"/>
      <c r="Q31" s="12"/>
    </row>
    <row r="32" spans="1:17" s="8" customFormat="1">
      <c r="A32" s="3" t="s">
        <v>36</v>
      </c>
      <c r="B32" s="3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  <c r="N32" s="9"/>
      <c r="O32" s="11"/>
      <c r="P32" s="9"/>
      <c r="Q32" s="12"/>
    </row>
    <row r="33" spans="1:17" s="8" customFormat="1">
      <c r="A33" s="8" t="s">
        <v>37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6.89</v>
      </c>
      <c r="M33" s="10">
        <v>159.30000000000001</v>
      </c>
      <c r="N33" s="9">
        <v>0</v>
      </c>
      <c r="O33" s="11">
        <f>SUM(C33:N33)</f>
        <v>166.19</v>
      </c>
      <c r="P33" s="9">
        <v>187</v>
      </c>
      <c r="Q33" s="12">
        <f>O33/P33</f>
        <v>0.88871657754010691</v>
      </c>
    </row>
    <row r="34" spans="1:17" s="8" customFormat="1">
      <c r="A34" s="8" t="s">
        <v>38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34.799999999999997</v>
      </c>
      <c r="L34" s="9">
        <v>0</v>
      </c>
      <c r="M34" s="10">
        <v>0</v>
      </c>
      <c r="N34" s="9">
        <v>71.599999999999994</v>
      </c>
      <c r="O34" s="11">
        <f>SUM(C34:N34)</f>
        <v>106.39999999999999</v>
      </c>
      <c r="P34" s="9">
        <v>135</v>
      </c>
      <c r="Q34" s="12">
        <f>O34/P34</f>
        <v>0.78814814814814804</v>
      </c>
    </row>
    <row r="35" spans="1:17" s="8" customFormat="1">
      <c r="A35" s="8" t="s">
        <v>39</v>
      </c>
      <c r="C35" s="9">
        <v>0</v>
      </c>
      <c r="D35" s="9">
        <v>10.95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0">
        <v>39.96</v>
      </c>
      <c r="N35" s="9">
        <v>529.59</v>
      </c>
      <c r="O35" s="11">
        <f>SUM(C35:N35)</f>
        <v>580.5</v>
      </c>
      <c r="P35" s="9">
        <v>938</v>
      </c>
      <c r="Q35" s="12">
        <f>O35/P35</f>
        <v>0.61886993603411511</v>
      </c>
    </row>
    <row r="36" spans="1:17" s="8" customFormat="1">
      <c r="A36" s="8" t="s">
        <v>103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0">
        <v>0</v>
      </c>
      <c r="N36" s="9">
        <v>0</v>
      </c>
      <c r="O36" s="11">
        <f>SUM(C36:N36)</f>
        <v>0</v>
      </c>
      <c r="P36" s="9">
        <v>200</v>
      </c>
      <c r="Q36" s="12">
        <f>O36/P36</f>
        <v>0</v>
      </c>
    </row>
    <row r="37" spans="1:17" s="8" customFormat="1"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9"/>
      <c r="O37" s="11"/>
      <c r="P37" s="1"/>
      <c r="Q37" s="12"/>
    </row>
    <row r="38" spans="1:17" s="8" customFormat="1">
      <c r="A38" s="3" t="s">
        <v>40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  <c r="N38" s="9"/>
      <c r="O38" s="11"/>
      <c r="P38" s="9"/>
      <c r="Q38" s="12"/>
    </row>
    <row r="39" spans="1:17" s="8" customFormat="1">
      <c r="A39" s="15" t="s">
        <v>41</v>
      </c>
      <c r="B39" s="15"/>
      <c r="C39" s="9">
        <v>0</v>
      </c>
      <c r="D39" s="9">
        <v>0</v>
      </c>
      <c r="E39" s="9">
        <v>0</v>
      </c>
      <c r="F39" s="9">
        <v>303</v>
      </c>
      <c r="G39" s="9">
        <v>0</v>
      </c>
      <c r="H39" s="9">
        <v>0</v>
      </c>
      <c r="I39" s="9">
        <v>0</v>
      </c>
      <c r="J39" s="9">
        <v>0</v>
      </c>
      <c r="K39" s="9">
        <v>155.36000000000001</v>
      </c>
      <c r="L39" s="9">
        <v>0</v>
      </c>
      <c r="M39" s="10">
        <v>0</v>
      </c>
      <c r="N39" s="9">
        <v>0</v>
      </c>
      <c r="O39" s="11">
        <f>SUM(C39:N39)</f>
        <v>458.36</v>
      </c>
      <c r="P39" s="9">
        <v>600</v>
      </c>
      <c r="Q39" s="12">
        <f>O39/P39</f>
        <v>0.76393333333333335</v>
      </c>
    </row>
    <row r="40" spans="1:17" s="8" customFormat="1">
      <c r="A40" s="15" t="s">
        <v>42</v>
      </c>
      <c r="B40" s="15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510</v>
      </c>
      <c r="L40" s="9">
        <v>500</v>
      </c>
      <c r="M40" s="10">
        <v>0</v>
      </c>
      <c r="N40" s="9">
        <v>0</v>
      </c>
      <c r="O40" s="11">
        <f>SUM(C40:N40)</f>
        <v>1010</v>
      </c>
      <c r="P40" s="9">
        <v>1650</v>
      </c>
      <c r="Q40" s="12">
        <f>O40/P40</f>
        <v>0.61212121212121207</v>
      </c>
    </row>
    <row r="41" spans="1:17" s="8" customFormat="1">
      <c r="A41" s="15" t="s">
        <v>43</v>
      </c>
      <c r="B41" s="15"/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0">
        <v>129.5</v>
      </c>
      <c r="N41" s="9">
        <v>571.53</v>
      </c>
      <c r="O41" s="11">
        <f>SUM(C41:N41)</f>
        <v>701.03</v>
      </c>
      <c r="P41" s="9">
        <v>750</v>
      </c>
      <c r="Q41" s="12">
        <f>O41/P41</f>
        <v>0.93470666666666669</v>
      </c>
    </row>
    <row r="42" spans="1:17" s="8" customFormat="1">
      <c r="A42" s="8" t="s">
        <v>44</v>
      </c>
      <c r="C42" s="9">
        <v>0</v>
      </c>
      <c r="D42" s="9">
        <v>0</v>
      </c>
      <c r="E42" s="9">
        <v>2500</v>
      </c>
      <c r="F42" s="9">
        <v>0</v>
      </c>
      <c r="G42" s="9">
        <v>2500</v>
      </c>
      <c r="H42" s="9">
        <v>0</v>
      </c>
      <c r="I42" s="9">
        <v>0</v>
      </c>
      <c r="J42" s="9">
        <v>0</v>
      </c>
      <c r="K42" s="9">
        <v>2500</v>
      </c>
      <c r="L42" s="9">
        <v>0</v>
      </c>
      <c r="M42" s="10">
        <v>2636</v>
      </c>
      <c r="N42" s="9">
        <v>0</v>
      </c>
      <c r="O42" s="11">
        <f>SUM(C42:N42)</f>
        <v>10136</v>
      </c>
      <c r="P42" s="9">
        <v>10136</v>
      </c>
      <c r="Q42" s="12">
        <f>O42/P42</f>
        <v>1</v>
      </c>
    </row>
    <row r="43" spans="1:17" s="8" customFormat="1"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  <c r="N43" s="9"/>
      <c r="O43" s="11"/>
      <c r="P43" s="9"/>
      <c r="Q43" s="12"/>
    </row>
    <row r="44" spans="1:17" s="8" customFormat="1"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  <c r="N44" s="9"/>
      <c r="O44" s="11"/>
      <c r="P44" s="9"/>
      <c r="Q44" s="12"/>
    </row>
    <row r="45" spans="1:17" s="8" customFormat="1">
      <c r="C45" s="4" t="s">
        <v>0</v>
      </c>
      <c r="D45" s="4" t="s">
        <v>1</v>
      </c>
      <c r="E45" s="4" t="s">
        <v>2</v>
      </c>
      <c r="F45" s="4" t="s">
        <v>3</v>
      </c>
      <c r="G45" s="4" t="s">
        <v>4</v>
      </c>
      <c r="H45" s="4" t="s">
        <v>5</v>
      </c>
      <c r="I45" s="4" t="s">
        <v>6</v>
      </c>
      <c r="J45" s="4" t="s">
        <v>7</v>
      </c>
      <c r="K45" s="4" t="s">
        <v>8</v>
      </c>
      <c r="L45" s="4" t="s">
        <v>9</v>
      </c>
      <c r="M45" s="5" t="s">
        <v>10</v>
      </c>
      <c r="N45" s="4" t="s">
        <v>11</v>
      </c>
      <c r="O45" s="6" t="s">
        <v>12</v>
      </c>
      <c r="P45" s="4" t="s">
        <v>13</v>
      </c>
      <c r="Q45" s="7" t="s">
        <v>14</v>
      </c>
    </row>
    <row r="46" spans="1:17" s="8" customFormat="1">
      <c r="A46" s="3" t="s">
        <v>45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  <c r="N46" s="9"/>
      <c r="O46" s="11"/>
      <c r="P46" s="9"/>
      <c r="Q46" s="12"/>
    </row>
    <row r="47" spans="1:17" s="3" customFormat="1"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6"/>
      <c r="Q47" s="16"/>
    </row>
    <row r="48" spans="1:17" s="3" customFormat="1">
      <c r="A48" s="15" t="s">
        <v>46</v>
      </c>
      <c r="B48" s="15"/>
      <c r="C48" s="9">
        <v>1112.08</v>
      </c>
      <c r="D48" s="9">
        <v>1747.97</v>
      </c>
      <c r="E48" s="9">
        <v>1112.08</v>
      </c>
      <c r="F48" s="9">
        <v>1112.08</v>
      </c>
      <c r="G48" s="9">
        <v>1681.38</v>
      </c>
      <c r="H48" s="9">
        <v>1668.12</v>
      </c>
      <c r="I48" s="9">
        <v>1112.08</v>
      </c>
      <c r="J48" s="9">
        <v>1756.93</v>
      </c>
      <c r="K48" s="9">
        <v>1112.08</v>
      </c>
      <c r="L48" s="9">
        <v>1112.08</v>
      </c>
      <c r="M48" s="10">
        <v>1664.81</v>
      </c>
      <c r="N48" s="9">
        <v>1668.12</v>
      </c>
      <c r="O48" s="11">
        <f t="shared" ref="O48:O54" si="5">SUM(C48:N48)</f>
        <v>16859.809999999998</v>
      </c>
      <c r="P48" s="9">
        <v>16901</v>
      </c>
      <c r="Q48" s="12">
        <f t="shared" ref="Q48:Q54" si="6">O48/P48</f>
        <v>0.99756286610259737</v>
      </c>
    </row>
    <row r="49" spans="1:17" s="3" customFormat="1">
      <c r="A49" s="15" t="s">
        <v>47</v>
      </c>
      <c r="B49" s="15"/>
      <c r="C49" s="9">
        <v>25</v>
      </c>
      <c r="D49" s="9">
        <v>0</v>
      </c>
      <c r="E49" s="9">
        <v>0</v>
      </c>
      <c r="F49" s="9">
        <v>193</v>
      </c>
      <c r="G49" s="9">
        <v>0</v>
      </c>
      <c r="H49" s="9">
        <v>0</v>
      </c>
      <c r="I49" s="9">
        <v>125</v>
      </c>
      <c r="J49" s="9">
        <v>0</v>
      </c>
      <c r="K49" s="9">
        <v>0</v>
      </c>
      <c r="L49" s="9">
        <v>0</v>
      </c>
      <c r="M49" s="10">
        <v>170</v>
      </c>
      <c r="N49" s="9">
        <v>0</v>
      </c>
      <c r="O49" s="11">
        <f t="shared" si="5"/>
        <v>513</v>
      </c>
      <c r="P49" s="9">
        <v>3050</v>
      </c>
      <c r="Q49" s="12">
        <f t="shared" si="6"/>
        <v>0.16819672131147542</v>
      </c>
    </row>
    <row r="50" spans="1:17" s="3" customFormat="1">
      <c r="A50" s="15" t="s">
        <v>48</v>
      </c>
      <c r="B50" s="15"/>
      <c r="C50" s="9">
        <v>0</v>
      </c>
      <c r="D50" s="9">
        <v>973.11</v>
      </c>
      <c r="E50" s="9">
        <v>650.03</v>
      </c>
      <c r="F50" s="9">
        <v>650.03</v>
      </c>
      <c r="G50" s="9">
        <v>1026.95</v>
      </c>
      <c r="H50" s="9">
        <v>650.03</v>
      </c>
      <c r="I50" s="9">
        <v>650</v>
      </c>
      <c r="J50" s="9">
        <v>973.11</v>
      </c>
      <c r="K50" s="9">
        <v>650.03</v>
      </c>
      <c r="L50" s="9">
        <v>650</v>
      </c>
      <c r="M50" s="10">
        <v>973</v>
      </c>
      <c r="N50" s="9">
        <v>1300.06</v>
      </c>
      <c r="O50" s="11">
        <f t="shared" si="5"/>
        <v>9146.3499999999985</v>
      </c>
      <c r="P50" s="9">
        <v>7800</v>
      </c>
      <c r="Q50" s="12">
        <f t="shared" si="6"/>
        <v>1.1726089743589743</v>
      </c>
    </row>
    <row r="51" spans="1:17" s="3" customFormat="1">
      <c r="A51" s="8" t="s">
        <v>49</v>
      </c>
      <c r="B51" s="8"/>
      <c r="C51" s="9">
        <v>0</v>
      </c>
      <c r="D51" s="9">
        <v>95</v>
      </c>
      <c r="E51" s="9">
        <v>50</v>
      </c>
      <c r="F51" s="9">
        <v>40</v>
      </c>
      <c r="G51" s="9">
        <v>0</v>
      </c>
      <c r="H51" s="9">
        <v>0</v>
      </c>
      <c r="I51" s="9">
        <v>30</v>
      </c>
      <c r="J51" s="9">
        <v>0</v>
      </c>
      <c r="K51" s="9">
        <v>0</v>
      </c>
      <c r="L51" s="9">
        <v>0</v>
      </c>
      <c r="M51" s="10">
        <v>0</v>
      </c>
      <c r="N51" s="9">
        <v>0</v>
      </c>
      <c r="O51" s="11">
        <f t="shared" si="5"/>
        <v>215</v>
      </c>
      <c r="P51" s="9">
        <v>5200</v>
      </c>
      <c r="Q51" s="12">
        <f t="shared" si="6"/>
        <v>4.1346153846153845E-2</v>
      </c>
    </row>
    <row r="52" spans="1:17" s="3" customFormat="1">
      <c r="A52" s="8" t="s">
        <v>50</v>
      </c>
      <c r="B52" s="8"/>
      <c r="C52" s="9">
        <v>0</v>
      </c>
      <c r="D52" s="9">
        <v>73.900000000000006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0">
        <v>92.35</v>
      </c>
      <c r="N52" s="9">
        <v>128.5</v>
      </c>
      <c r="O52" s="11">
        <f t="shared" si="5"/>
        <v>294.75</v>
      </c>
      <c r="P52" s="9">
        <v>3570</v>
      </c>
      <c r="Q52" s="12">
        <f t="shared" si="6"/>
        <v>8.2563025210084032E-2</v>
      </c>
    </row>
    <row r="53" spans="1:17" s="8" customFormat="1">
      <c r="A53" s="15" t="s">
        <v>51</v>
      </c>
      <c r="B53" s="15"/>
      <c r="C53" s="9">
        <v>0</v>
      </c>
      <c r="D53" s="9">
        <v>164.93</v>
      </c>
      <c r="E53" s="9">
        <v>110.17</v>
      </c>
      <c r="F53" s="9">
        <v>110.17</v>
      </c>
      <c r="G53" s="9">
        <v>498.14</v>
      </c>
      <c r="H53" s="9">
        <v>443.28</v>
      </c>
      <c r="I53" s="9">
        <v>443.28</v>
      </c>
      <c r="J53" s="9">
        <v>663.6</v>
      </c>
      <c r="K53" s="9">
        <v>407.49</v>
      </c>
      <c r="L53" s="9">
        <v>461.75</v>
      </c>
      <c r="M53" s="10">
        <v>800.41</v>
      </c>
      <c r="N53" s="9">
        <v>692.62</v>
      </c>
      <c r="O53" s="11">
        <f t="shared" si="5"/>
        <v>4795.84</v>
      </c>
      <c r="P53" s="9">
        <v>7500</v>
      </c>
      <c r="Q53" s="12">
        <f t="shared" si="6"/>
        <v>0.63944533333333331</v>
      </c>
    </row>
    <row r="54" spans="1:17" s="8" customFormat="1">
      <c r="A54" s="8" t="s">
        <v>104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0">
        <v>0</v>
      </c>
      <c r="N54" s="9">
        <v>423</v>
      </c>
      <c r="O54" s="11">
        <f t="shared" si="5"/>
        <v>423</v>
      </c>
      <c r="P54" s="9">
        <v>423</v>
      </c>
      <c r="Q54" s="12">
        <f t="shared" si="6"/>
        <v>1</v>
      </c>
    </row>
    <row r="55" spans="1:17" s="8" customFormat="1"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9"/>
      <c r="O55" s="11"/>
      <c r="P55" s="1"/>
      <c r="Q55" s="12"/>
    </row>
    <row r="56" spans="1:17" s="8" customFormat="1">
      <c r="A56" s="3" t="s">
        <v>52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9"/>
      <c r="O56" s="11"/>
      <c r="P56" s="4">
        <v>67937</v>
      </c>
      <c r="Q56" s="12">
        <f>(O57+O58+O59+O60)/P56</f>
        <v>0.94009641285308432</v>
      </c>
    </row>
    <row r="57" spans="1:17" s="8" customFormat="1">
      <c r="A57" s="14" t="s">
        <v>53</v>
      </c>
      <c r="C57" s="9">
        <f>5380.88+20</f>
        <v>5400.88</v>
      </c>
      <c r="D57" s="9">
        <v>4374.6400000000003</v>
      </c>
      <c r="E57" s="9">
        <v>4141.17</v>
      </c>
      <c r="F57" s="9">
        <v>3953.44</v>
      </c>
      <c r="G57" s="9">
        <v>3953.44</v>
      </c>
      <c r="H57" s="9">
        <v>5914.11</v>
      </c>
      <c r="I57" s="9">
        <v>3953.44</v>
      </c>
      <c r="J57" s="9">
        <v>4059.04</v>
      </c>
      <c r="K57" s="9">
        <v>3970.24</v>
      </c>
      <c r="L57" s="9">
        <v>3970.24</v>
      </c>
      <c r="M57" s="10">
        <v>3970.24</v>
      </c>
      <c r="N57" s="9">
        <v>5913.56</v>
      </c>
      <c r="O57" s="11">
        <f>SUM(C57:N57)</f>
        <v>53574.439999999988</v>
      </c>
      <c r="P57" s="9">
        <v>53809</v>
      </c>
      <c r="Q57" s="12"/>
    </row>
    <row r="58" spans="1:17" s="8" customFormat="1">
      <c r="A58" s="8" t="s">
        <v>54</v>
      </c>
      <c r="C58" s="9">
        <v>430.5</v>
      </c>
      <c r="D58" s="9">
        <v>428.66</v>
      </c>
      <c r="E58" s="9">
        <v>85.6</v>
      </c>
      <c r="F58" s="9">
        <v>114.2</v>
      </c>
      <c r="G58" s="9">
        <v>85.6</v>
      </c>
      <c r="H58" s="9">
        <v>85.6</v>
      </c>
      <c r="I58" s="9">
        <v>85.6</v>
      </c>
      <c r="J58" s="9">
        <v>85.6</v>
      </c>
      <c r="K58" s="9">
        <v>85.6</v>
      </c>
      <c r="L58" s="9">
        <v>85.6</v>
      </c>
      <c r="M58" s="10">
        <v>85.6</v>
      </c>
      <c r="N58" s="9">
        <v>85.6</v>
      </c>
      <c r="O58" s="11">
        <f>SUM(C58:N58)</f>
        <v>1743.7599999999993</v>
      </c>
      <c r="P58" s="9">
        <v>1628</v>
      </c>
      <c r="Q58" s="12"/>
    </row>
    <row r="59" spans="1:17" s="8" customFormat="1">
      <c r="A59" s="8" t="s">
        <v>55</v>
      </c>
      <c r="C59" s="9">
        <v>227.45</v>
      </c>
      <c r="D59" s="9">
        <v>454.9</v>
      </c>
      <c r="E59" s="9">
        <v>324.94</v>
      </c>
      <c r="F59" s="9">
        <v>400</v>
      </c>
      <c r="G59" s="9">
        <v>400</v>
      </c>
      <c r="H59" s="9">
        <v>400</v>
      </c>
      <c r="I59" s="9">
        <v>400</v>
      </c>
      <c r="J59" s="9">
        <v>400</v>
      </c>
      <c r="K59" s="9">
        <v>400</v>
      </c>
      <c r="L59" s="9">
        <v>400</v>
      </c>
      <c r="M59" s="10">
        <v>400</v>
      </c>
      <c r="N59" s="9">
        <v>400</v>
      </c>
      <c r="O59" s="11">
        <f>SUM(C59:N59)</f>
        <v>4607.29</v>
      </c>
      <c r="P59" s="9">
        <v>5000</v>
      </c>
      <c r="Q59" s="12"/>
    </row>
    <row r="60" spans="1:17" s="8" customFormat="1">
      <c r="A60" s="8" t="s">
        <v>56</v>
      </c>
      <c r="C60" s="9">
        <v>435.9</v>
      </c>
      <c r="D60" s="9">
        <v>200</v>
      </c>
      <c r="E60" s="9">
        <v>250</v>
      </c>
      <c r="F60" s="9">
        <v>1585</v>
      </c>
      <c r="G60" s="9">
        <v>0</v>
      </c>
      <c r="H60" s="9">
        <v>0</v>
      </c>
      <c r="I60" s="9">
        <v>0</v>
      </c>
      <c r="J60" s="9">
        <v>0</v>
      </c>
      <c r="K60" s="9">
        <v>1394.12</v>
      </c>
      <c r="L60" s="9">
        <v>33.369999999999997</v>
      </c>
      <c r="M60" s="10">
        <v>0</v>
      </c>
      <c r="N60" s="9">
        <v>43.45</v>
      </c>
      <c r="O60" s="11">
        <f>SUM(C60:N60)</f>
        <v>3941.8399999999997</v>
      </c>
      <c r="P60" s="9">
        <v>7500</v>
      </c>
      <c r="Q60" s="12"/>
    </row>
    <row r="61" spans="1:17" s="8" customFormat="1">
      <c r="C61" s="9"/>
      <c r="D61" s="9"/>
      <c r="E61" s="9"/>
      <c r="F61" s="9"/>
      <c r="G61" s="9"/>
      <c r="H61" s="9"/>
      <c r="I61" s="9"/>
      <c r="J61" s="9"/>
      <c r="K61" s="9"/>
      <c r="L61" s="9"/>
      <c r="M61" s="10"/>
      <c r="N61" s="9"/>
      <c r="O61" s="11"/>
      <c r="P61" s="9"/>
      <c r="Q61" s="12"/>
    </row>
    <row r="62" spans="1:17" s="8" customFormat="1">
      <c r="A62" s="13" t="s">
        <v>57</v>
      </c>
      <c r="C62" s="4">
        <f t="shared" ref="C62:O62" si="7">SUM(C17:C60)</f>
        <v>10959.730000000001</v>
      </c>
      <c r="D62" s="4">
        <f t="shared" si="7"/>
        <v>9617.9800000000014</v>
      </c>
      <c r="E62" s="4">
        <f t="shared" si="7"/>
        <v>11229.5</v>
      </c>
      <c r="F62" s="4">
        <f t="shared" si="7"/>
        <v>9500.5799999999981</v>
      </c>
      <c r="G62" s="4">
        <f t="shared" si="7"/>
        <v>16672.650000000001</v>
      </c>
      <c r="H62" s="4">
        <f t="shared" si="7"/>
        <v>11603.710000000001</v>
      </c>
      <c r="I62" s="4">
        <f t="shared" si="7"/>
        <v>9081.0499999999993</v>
      </c>
      <c r="J62" s="4">
        <f t="shared" si="7"/>
        <v>9244.8799999999992</v>
      </c>
      <c r="K62" s="4">
        <f t="shared" si="7"/>
        <v>14743.57</v>
      </c>
      <c r="L62" s="4">
        <f t="shared" si="7"/>
        <v>9726.2100000000009</v>
      </c>
      <c r="M62" s="5">
        <f t="shared" si="7"/>
        <v>14213.87</v>
      </c>
      <c r="N62" s="4">
        <f t="shared" si="7"/>
        <v>14996.860000000002</v>
      </c>
      <c r="O62" s="6">
        <f t="shared" si="7"/>
        <v>141590.58999999997</v>
      </c>
      <c r="P62" s="4">
        <f>SUM(P17:P54,P56)</f>
        <v>164683</v>
      </c>
      <c r="Q62" s="7">
        <f>O62/P62</f>
        <v>0.85977660110636778</v>
      </c>
    </row>
    <row r="63" spans="1:17" s="8" customFormat="1">
      <c r="A63" s="13" t="s">
        <v>58</v>
      </c>
      <c r="B63" s="13"/>
      <c r="C63" s="9">
        <f t="shared" ref="C63:O63" si="8">C11-C62</f>
        <v>14855.99</v>
      </c>
      <c r="D63" s="9">
        <f t="shared" si="8"/>
        <v>571.92999999999847</v>
      </c>
      <c r="E63" s="9">
        <f t="shared" si="8"/>
        <v>-6730.71</v>
      </c>
      <c r="F63" s="9">
        <f t="shared" si="8"/>
        <v>-7284.5799999999981</v>
      </c>
      <c r="G63" s="9">
        <f t="shared" si="8"/>
        <v>-4765.8000000000011</v>
      </c>
      <c r="H63" s="9">
        <f t="shared" si="8"/>
        <v>7741.9899999999961</v>
      </c>
      <c r="I63" s="9">
        <f t="shared" si="8"/>
        <v>15187.27</v>
      </c>
      <c r="J63" s="9">
        <f t="shared" si="8"/>
        <v>-56.859999999998763</v>
      </c>
      <c r="K63" s="9">
        <f t="shared" si="8"/>
        <v>-4381.2700000000004</v>
      </c>
      <c r="L63" s="9">
        <f t="shared" si="8"/>
        <v>24669.210000000006</v>
      </c>
      <c r="M63" s="10">
        <f t="shared" si="8"/>
        <v>-5580.83</v>
      </c>
      <c r="N63" s="9">
        <f t="shared" si="8"/>
        <v>-7104.3600000000024</v>
      </c>
      <c r="O63" s="6">
        <f t="shared" si="8"/>
        <v>27121.98000000004</v>
      </c>
      <c r="P63" s="9"/>
      <c r="Q63" s="12"/>
    </row>
    <row r="64" spans="1:17" s="8" customFormat="1">
      <c r="A64" s="13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9"/>
      <c r="O64" s="6"/>
      <c r="P64" s="9"/>
      <c r="Q64" s="12"/>
    </row>
    <row r="65" spans="1:17" s="8" customFormat="1">
      <c r="A65" s="3" t="s">
        <v>59</v>
      </c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6"/>
      <c r="P65" s="9"/>
      <c r="Q65" s="12"/>
    </row>
    <row r="66" spans="1:17" s="8" customFormat="1" ht="14.4">
      <c r="B66" s="17"/>
      <c r="C66" s="4" t="s">
        <v>11</v>
      </c>
      <c r="D66" s="4" t="s">
        <v>0</v>
      </c>
      <c r="E66" s="4" t="s">
        <v>1</v>
      </c>
      <c r="F66" s="4" t="s">
        <v>2</v>
      </c>
      <c r="G66" s="4" t="s">
        <v>3</v>
      </c>
      <c r="H66" s="4" t="s">
        <v>4</v>
      </c>
      <c r="I66" s="4" t="s">
        <v>5</v>
      </c>
      <c r="J66" s="4" t="s">
        <v>6</v>
      </c>
      <c r="K66" s="4" t="s">
        <v>7</v>
      </c>
      <c r="L66" s="4" t="s">
        <v>8</v>
      </c>
      <c r="M66" s="5" t="s">
        <v>9</v>
      </c>
      <c r="N66" s="4" t="s">
        <v>10</v>
      </c>
      <c r="O66" s="4" t="s">
        <v>11</v>
      </c>
      <c r="P66" s="9"/>
      <c r="Q66" s="12"/>
    </row>
    <row r="67" spans="1:17" s="8" customFormat="1" ht="14.4">
      <c r="A67" s="3" t="s">
        <v>60</v>
      </c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6"/>
      <c r="P67" s="9"/>
      <c r="Q67" s="12"/>
    </row>
    <row r="68" spans="1:17" s="8" customFormat="1">
      <c r="A68" s="8" t="s">
        <v>109</v>
      </c>
      <c r="C68" s="9">
        <v>79192.97</v>
      </c>
      <c r="D68" s="9">
        <v>67116.33</v>
      </c>
      <c r="E68" s="9">
        <v>66336.88</v>
      </c>
      <c r="F68" s="9">
        <v>60000.37</v>
      </c>
      <c r="G68" s="9">
        <v>52517.47</v>
      </c>
      <c r="H68" s="9">
        <v>46241.38</v>
      </c>
      <c r="I68" s="9">
        <v>56453.37</v>
      </c>
      <c r="J68" s="9">
        <v>73674.179999999993</v>
      </c>
      <c r="K68" s="9">
        <v>75927.320000000007</v>
      </c>
      <c r="L68" s="9">
        <v>70894.63</v>
      </c>
      <c r="M68" s="10">
        <v>100852.89</v>
      </c>
      <c r="N68" s="9">
        <v>103615.48</v>
      </c>
      <c r="O68" s="11">
        <v>102306.03</v>
      </c>
      <c r="P68" s="9"/>
      <c r="Q68" s="12"/>
    </row>
    <row r="69" spans="1:17" s="8" customFormat="1">
      <c r="A69" s="8" t="s">
        <v>110</v>
      </c>
      <c r="C69" s="9">
        <v>2979.49</v>
      </c>
      <c r="D69" s="9">
        <v>2979.61</v>
      </c>
      <c r="E69" s="9">
        <v>2979.73</v>
      </c>
      <c r="F69" s="9">
        <v>2979.85</v>
      </c>
      <c r="G69" s="9">
        <v>2979.97</v>
      </c>
      <c r="H69" s="9">
        <v>2980.06</v>
      </c>
      <c r="I69" s="9">
        <v>2980.08</v>
      </c>
      <c r="J69" s="9">
        <v>2980.1</v>
      </c>
      <c r="K69" s="9">
        <v>2980.12</v>
      </c>
      <c r="L69" s="9">
        <v>2980.14</v>
      </c>
      <c r="M69" s="10">
        <v>2980.16</v>
      </c>
      <c r="N69" s="9">
        <v>2980.18</v>
      </c>
      <c r="O69" s="11">
        <v>2980</v>
      </c>
      <c r="P69" s="9"/>
      <c r="Q69" s="12"/>
    </row>
    <row r="70" spans="1:17" s="8" customFormat="1">
      <c r="A70" s="8" t="s">
        <v>61</v>
      </c>
      <c r="C70" s="9">
        <v>76203.64</v>
      </c>
      <c r="D70" s="9">
        <v>76849.08</v>
      </c>
      <c r="E70" s="9">
        <v>77257.88</v>
      </c>
      <c r="F70" s="9">
        <v>77979.59</v>
      </c>
      <c r="G70" s="9">
        <v>76587.570000000007</v>
      </c>
      <c r="H70" s="9">
        <v>78049.460000000006</v>
      </c>
      <c r="I70" s="9">
        <v>77395.240000000005</v>
      </c>
      <c r="J70" s="9">
        <v>78819.53</v>
      </c>
      <c r="K70" s="9">
        <v>77179.97</v>
      </c>
      <c r="L70" s="9">
        <v>76208.14</v>
      </c>
      <c r="M70" s="10">
        <v>75855.199999999997</v>
      </c>
      <c r="N70" s="9">
        <v>73781.41</v>
      </c>
      <c r="O70" s="11">
        <v>74331.98</v>
      </c>
      <c r="P70" s="9"/>
      <c r="Q70" s="12"/>
    </row>
    <row r="71" spans="1:17" s="8" customFormat="1">
      <c r="A71" s="13" t="s">
        <v>62</v>
      </c>
      <c r="B71" s="18"/>
      <c r="C71" s="4">
        <f t="shared" ref="C71:O71" si="9">SUM(C68:C70)</f>
        <v>158376.1</v>
      </c>
      <c r="D71" s="4">
        <f t="shared" si="9"/>
        <v>146945.02000000002</v>
      </c>
      <c r="E71" s="4">
        <f t="shared" si="9"/>
        <v>146574.49</v>
      </c>
      <c r="F71" s="4">
        <f t="shared" si="9"/>
        <v>140959.81</v>
      </c>
      <c r="G71" s="4">
        <f t="shared" si="9"/>
        <v>132085.01</v>
      </c>
      <c r="H71" s="4">
        <f t="shared" si="9"/>
        <v>127270.9</v>
      </c>
      <c r="I71" s="4">
        <f t="shared" si="9"/>
        <v>136828.69</v>
      </c>
      <c r="J71" s="4">
        <f t="shared" si="9"/>
        <v>155473.81</v>
      </c>
      <c r="K71" s="4">
        <f t="shared" si="9"/>
        <v>156087.41</v>
      </c>
      <c r="L71" s="4">
        <f t="shared" si="9"/>
        <v>150082.91</v>
      </c>
      <c r="M71" s="5">
        <f t="shared" si="9"/>
        <v>179688.25</v>
      </c>
      <c r="N71" s="4">
        <f t="shared" si="9"/>
        <v>180377.07</v>
      </c>
      <c r="O71" s="6">
        <f t="shared" si="9"/>
        <v>179618.01</v>
      </c>
      <c r="P71" s="9"/>
      <c r="Q71" s="12"/>
    </row>
    <row r="72" spans="1:17" s="8" customFormat="1">
      <c r="C72" s="9"/>
      <c r="D72" s="9"/>
      <c r="E72" s="9"/>
      <c r="F72" s="9"/>
      <c r="G72" s="9"/>
      <c r="H72" s="9"/>
      <c r="I72" s="9"/>
      <c r="J72" s="9"/>
      <c r="K72" s="9"/>
      <c r="L72" s="9"/>
      <c r="M72" s="10"/>
      <c r="N72" s="9"/>
      <c r="O72" s="11"/>
      <c r="P72" s="9"/>
      <c r="Q72" s="12"/>
    </row>
    <row r="73" spans="1:17" s="8" customFormat="1">
      <c r="A73" s="3" t="s">
        <v>63</v>
      </c>
      <c r="B73" s="3"/>
      <c r="C73" s="9"/>
      <c r="D73" s="9"/>
      <c r="E73" s="9"/>
      <c r="F73" s="9"/>
      <c r="G73" s="9"/>
      <c r="H73" s="9"/>
      <c r="I73" s="9"/>
      <c r="J73" s="9"/>
      <c r="K73" s="9"/>
      <c r="L73" s="9"/>
      <c r="M73" s="10"/>
      <c r="N73" s="9"/>
      <c r="O73" s="11"/>
      <c r="P73" s="9"/>
      <c r="Q73" s="12"/>
    </row>
    <row r="74" spans="1:17" s="8" customFormat="1">
      <c r="A74" s="3"/>
      <c r="B74" s="3"/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0">
        <v>0</v>
      </c>
      <c r="N74" s="9">
        <v>0</v>
      </c>
      <c r="O74" s="11">
        <v>0</v>
      </c>
      <c r="P74" s="9"/>
      <c r="Q74" s="12"/>
    </row>
    <row r="75" spans="1:17" s="8" customFormat="1">
      <c r="C75" s="9"/>
      <c r="D75" s="9"/>
      <c r="E75" s="9"/>
      <c r="F75" s="9"/>
      <c r="G75" s="9"/>
      <c r="H75" s="9"/>
      <c r="I75" s="9"/>
      <c r="J75" s="9"/>
      <c r="K75" s="9"/>
      <c r="L75" s="9"/>
      <c r="M75" s="10"/>
      <c r="N75" s="9"/>
      <c r="O75" s="11"/>
      <c r="P75" s="9"/>
      <c r="Q75" s="12"/>
    </row>
    <row r="76" spans="1:17" s="8" customFormat="1">
      <c r="A76" s="13" t="s">
        <v>64</v>
      </c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10"/>
      <c r="N76" s="9"/>
      <c r="O76" s="11"/>
      <c r="P76" s="9"/>
      <c r="Q76" s="12"/>
    </row>
    <row r="77" spans="1:17" s="8" customFormat="1">
      <c r="A77" s="13" t="s">
        <v>65</v>
      </c>
      <c r="B77" s="18"/>
      <c r="C77" s="9">
        <f>C74-C71</f>
        <v>-158376.1</v>
      </c>
      <c r="D77" s="9">
        <f t="shared" ref="D77:O77" si="10">D74-D71</f>
        <v>-146945.02000000002</v>
      </c>
      <c r="E77" s="9">
        <f t="shared" si="10"/>
        <v>-146574.49</v>
      </c>
      <c r="F77" s="9">
        <f t="shared" si="10"/>
        <v>-140959.81</v>
      </c>
      <c r="G77" s="9">
        <f t="shared" si="10"/>
        <v>-132085.01</v>
      </c>
      <c r="H77" s="9">
        <f t="shared" si="10"/>
        <v>-127270.9</v>
      </c>
      <c r="I77" s="9">
        <f t="shared" si="10"/>
        <v>-136828.69</v>
      </c>
      <c r="J77" s="9">
        <f t="shared" si="10"/>
        <v>-155473.81</v>
      </c>
      <c r="K77" s="9">
        <f t="shared" si="10"/>
        <v>-156087.41</v>
      </c>
      <c r="L77" s="9">
        <f t="shared" si="10"/>
        <v>-150082.91</v>
      </c>
      <c r="M77" s="10">
        <f t="shared" si="10"/>
        <v>-179688.25</v>
      </c>
      <c r="N77" s="9">
        <f t="shared" si="10"/>
        <v>-180377.07</v>
      </c>
      <c r="O77" s="11">
        <f t="shared" si="10"/>
        <v>-179618.01</v>
      </c>
      <c r="P77" s="9"/>
      <c r="Q77" s="12"/>
    </row>
    <row r="78" spans="1:17" s="8" customFormat="1">
      <c r="C78" s="9"/>
      <c r="D78" s="9"/>
      <c r="E78" s="9"/>
      <c r="F78" s="9"/>
      <c r="G78" s="9"/>
      <c r="H78" s="9"/>
      <c r="I78" s="9"/>
      <c r="J78" s="9"/>
      <c r="K78" s="9"/>
      <c r="L78" s="9"/>
      <c r="M78" s="10"/>
      <c r="N78" s="9"/>
      <c r="O78" s="11"/>
      <c r="P78" s="9"/>
      <c r="Q78" s="12"/>
    </row>
    <row r="79" spans="1:17" s="8" customFormat="1">
      <c r="A79" s="3" t="s">
        <v>66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10"/>
      <c r="N79" s="9"/>
      <c r="O79" s="11"/>
      <c r="P79" s="9"/>
      <c r="Q79" s="12"/>
    </row>
    <row r="80" spans="1:17" s="8" customFormat="1">
      <c r="A80" s="8" t="s">
        <v>67</v>
      </c>
      <c r="C80" s="9">
        <f t="shared" ref="C80:O80" si="11">C71</f>
        <v>158376.1</v>
      </c>
      <c r="D80" s="9">
        <f t="shared" si="11"/>
        <v>146945.02000000002</v>
      </c>
      <c r="E80" s="9">
        <f t="shared" si="11"/>
        <v>146574.49</v>
      </c>
      <c r="F80" s="9">
        <f t="shared" si="11"/>
        <v>140959.81</v>
      </c>
      <c r="G80" s="9">
        <f t="shared" si="11"/>
        <v>132085.01</v>
      </c>
      <c r="H80" s="9">
        <f t="shared" si="11"/>
        <v>127270.9</v>
      </c>
      <c r="I80" s="9">
        <f t="shared" si="11"/>
        <v>136828.69</v>
      </c>
      <c r="J80" s="9">
        <f t="shared" si="11"/>
        <v>155473.81</v>
      </c>
      <c r="K80" s="9">
        <f t="shared" si="11"/>
        <v>156087.41</v>
      </c>
      <c r="L80" s="9">
        <f t="shared" si="11"/>
        <v>150082.91</v>
      </c>
      <c r="M80" s="10">
        <f t="shared" si="11"/>
        <v>179688.25</v>
      </c>
      <c r="N80" s="9">
        <f t="shared" si="11"/>
        <v>180377.07</v>
      </c>
      <c r="O80" s="11">
        <f t="shared" si="11"/>
        <v>179618.01</v>
      </c>
      <c r="P80" s="9"/>
      <c r="Q80" s="12"/>
    </row>
    <row r="81" spans="1:17" s="8" customFormat="1">
      <c r="A81" s="8" t="s">
        <v>68</v>
      </c>
      <c r="C81" s="9">
        <f>C106</f>
        <v>38219</v>
      </c>
      <c r="D81" s="9">
        <f t="shared" ref="D81:O81" si="12">D106</f>
        <v>45076.82</v>
      </c>
      <c r="E81" s="9">
        <f t="shared" si="12"/>
        <v>44117.89</v>
      </c>
      <c r="F81" s="9">
        <f t="shared" si="12"/>
        <v>44117.89</v>
      </c>
      <c r="G81" s="9">
        <f t="shared" si="12"/>
        <v>44117.89</v>
      </c>
      <c r="H81" s="9">
        <f t="shared" si="12"/>
        <v>43003.18</v>
      </c>
      <c r="I81" s="9">
        <f t="shared" si="12"/>
        <v>44283.18</v>
      </c>
      <c r="J81" s="9">
        <f t="shared" si="12"/>
        <v>45583.18</v>
      </c>
      <c r="K81" s="9">
        <f t="shared" si="12"/>
        <v>45583.18</v>
      </c>
      <c r="L81" s="9">
        <f t="shared" si="12"/>
        <v>45583.18</v>
      </c>
      <c r="M81" s="10">
        <f t="shared" si="12"/>
        <v>43689</v>
      </c>
      <c r="N81" s="9">
        <f t="shared" si="12"/>
        <v>43354.340000000004</v>
      </c>
      <c r="O81" s="11">
        <f t="shared" si="12"/>
        <v>43777.340000000004</v>
      </c>
      <c r="Q81" s="19"/>
    </row>
    <row r="82" spans="1:17" s="8" customFormat="1">
      <c r="A82" s="8" t="s">
        <v>69</v>
      </c>
      <c r="C82" s="9">
        <f t="shared" ref="C82" si="13">C164</f>
        <v>10303</v>
      </c>
      <c r="D82" s="9">
        <f>D164</f>
        <v>7410</v>
      </c>
      <c r="E82" s="9">
        <f t="shared" ref="E82:O82" si="14">E164</f>
        <v>8232.68</v>
      </c>
      <c r="F82" s="9">
        <f t="shared" si="14"/>
        <v>8232.68</v>
      </c>
      <c r="G82" s="9">
        <f t="shared" si="14"/>
        <v>8382.68</v>
      </c>
      <c r="H82" s="9">
        <f t="shared" si="14"/>
        <v>8164.83</v>
      </c>
      <c r="I82" s="9">
        <f t="shared" si="14"/>
        <v>8669.83</v>
      </c>
      <c r="J82" s="9">
        <f t="shared" si="14"/>
        <v>8669.83</v>
      </c>
      <c r="K82" s="9">
        <f t="shared" si="14"/>
        <v>8555.26</v>
      </c>
      <c r="L82" s="9">
        <f t="shared" si="14"/>
        <v>8480.26</v>
      </c>
      <c r="M82" s="10">
        <f t="shared" si="14"/>
        <v>9000.26</v>
      </c>
      <c r="N82" s="9">
        <f t="shared" si="14"/>
        <v>9360.26</v>
      </c>
      <c r="O82" s="11">
        <f t="shared" si="14"/>
        <v>9590.7000000000007</v>
      </c>
      <c r="Q82" s="19"/>
    </row>
    <row r="83" spans="1:17" s="8" customFormat="1">
      <c r="A83" s="8" t="s">
        <v>70</v>
      </c>
      <c r="C83" s="9">
        <v>9421</v>
      </c>
      <c r="D83" s="9">
        <f>D136</f>
        <v>7439.6</v>
      </c>
      <c r="E83" s="9">
        <f t="shared" ref="E83:O83" si="15">E136</f>
        <v>6677.1</v>
      </c>
      <c r="F83" s="9">
        <f t="shared" si="15"/>
        <v>6677.1</v>
      </c>
      <c r="G83" s="9">
        <f t="shared" si="15"/>
        <v>6677.1</v>
      </c>
      <c r="H83" s="9">
        <f t="shared" si="15"/>
        <v>6902.1</v>
      </c>
      <c r="I83" s="9">
        <f t="shared" si="15"/>
        <v>6902.1</v>
      </c>
      <c r="J83" s="9">
        <f t="shared" si="15"/>
        <v>8196.6</v>
      </c>
      <c r="K83" s="9">
        <f t="shared" si="15"/>
        <v>7996.6</v>
      </c>
      <c r="L83" s="9">
        <f t="shared" si="15"/>
        <v>7996.6</v>
      </c>
      <c r="M83" s="10">
        <f t="shared" si="15"/>
        <v>7996.6</v>
      </c>
      <c r="N83" s="9">
        <f t="shared" si="15"/>
        <v>7996.6</v>
      </c>
      <c r="O83" s="11">
        <f t="shared" si="15"/>
        <v>8118.3600000000006</v>
      </c>
      <c r="Q83" s="19"/>
    </row>
    <row r="84" spans="1:17" s="8" customFormat="1">
      <c r="A84" s="8" t="s">
        <v>71</v>
      </c>
      <c r="C84" s="9">
        <v>14963.083333333299</v>
      </c>
      <c r="D84" s="9">
        <f>P11/12</f>
        <v>13755.083333333334</v>
      </c>
      <c r="E84" s="9">
        <f>P11/12</f>
        <v>13755.083333333334</v>
      </c>
      <c r="F84" s="9">
        <v>13755</v>
      </c>
      <c r="G84" s="9">
        <v>13755</v>
      </c>
      <c r="H84" s="9">
        <v>13755</v>
      </c>
      <c r="I84" s="9">
        <v>13755</v>
      </c>
      <c r="J84" s="9">
        <v>13755</v>
      </c>
      <c r="K84" s="9">
        <v>13755</v>
      </c>
      <c r="L84" s="9">
        <v>13755</v>
      </c>
      <c r="M84" s="10">
        <v>13755</v>
      </c>
      <c r="N84" s="9">
        <v>13755</v>
      </c>
      <c r="O84" s="9">
        <v>13755</v>
      </c>
      <c r="Q84" s="19"/>
    </row>
    <row r="85" spans="1:17" s="8" customFormat="1">
      <c r="A85" s="13" t="s">
        <v>72</v>
      </c>
      <c r="B85" s="13"/>
      <c r="C85" s="4">
        <f t="shared" ref="C85:O85" si="16">IF(C81="",C80,C80-C81-C82-C83-C84)</f>
        <v>85470.016666666706</v>
      </c>
      <c r="D85" s="4">
        <f t="shared" si="16"/>
        <v>73263.516666666677</v>
      </c>
      <c r="E85" s="4">
        <f t="shared" si="16"/>
        <v>73791.736666666649</v>
      </c>
      <c r="F85" s="4">
        <f t="shared" si="16"/>
        <v>68177.139999999985</v>
      </c>
      <c r="G85" s="4">
        <f t="shared" si="16"/>
        <v>59152.34</v>
      </c>
      <c r="H85" s="4">
        <f t="shared" si="16"/>
        <v>55445.789999999994</v>
      </c>
      <c r="I85" s="4">
        <f t="shared" si="16"/>
        <v>63218.58</v>
      </c>
      <c r="J85" s="4">
        <f t="shared" si="16"/>
        <v>79269.2</v>
      </c>
      <c r="K85" s="4">
        <f t="shared" si="16"/>
        <v>80197.37000000001</v>
      </c>
      <c r="L85" s="4">
        <f t="shared" si="16"/>
        <v>74267.87000000001</v>
      </c>
      <c r="M85" s="5">
        <f t="shared" si="16"/>
        <v>105247.39</v>
      </c>
      <c r="N85" s="4">
        <f t="shared" si="16"/>
        <v>105910.87000000001</v>
      </c>
      <c r="O85" s="6">
        <f t="shared" si="16"/>
        <v>104376.61000000002</v>
      </c>
      <c r="Q85" s="19"/>
    </row>
    <row r="86" spans="1:17" s="8" customFormat="1">
      <c r="A86" s="13"/>
      <c r="B86" s="8" t="s">
        <v>73</v>
      </c>
      <c r="G86" s="8" t="s">
        <v>74</v>
      </c>
      <c r="M86" s="20"/>
      <c r="O86" s="11"/>
      <c r="Q86" s="19"/>
    </row>
    <row r="87" spans="1:17" s="8" customFormat="1">
      <c r="A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9"/>
      <c r="O87" s="11"/>
      <c r="P87" s="9"/>
      <c r="Q87" s="12"/>
    </row>
    <row r="88" spans="1:17" s="8" customFormat="1">
      <c r="A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10"/>
      <c r="N88" s="9"/>
      <c r="O88" s="11"/>
      <c r="P88" s="9"/>
      <c r="Q88" s="12"/>
    </row>
    <row r="89" spans="1:17" s="8" customFormat="1">
      <c r="A89" s="3" t="s">
        <v>75</v>
      </c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6"/>
      <c r="P89" s="4"/>
      <c r="Q89" s="12"/>
    </row>
    <row r="90" spans="1:17" s="8" customFormat="1">
      <c r="C90" s="4" t="s">
        <v>11</v>
      </c>
      <c r="D90" s="4" t="s">
        <v>0</v>
      </c>
      <c r="E90" s="4" t="s">
        <v>1</v>
      </c>
      <c r="F90" s="4" t="s">
        <v>2</v>
      </c>
      <c r="G90" s="4" t="s">
        <v>3</v>
      </c>
      <c r="H90" s="4" t="s">
        <v>4</v>
      </c>
      <c r="I90" s="4" t="s">
        <v>5</v>
      </c>
      <c r="J90" s="4" t="s">
        <v>6</v>
      </c>
      <c r="K90" s="4" t="s">
        <v>7</v>
      </c>
      <c r="L90" s="4" t="s">
        <v>8</v>
      </c>
      <c r="M90" s="5" t="s">
        <v>9</v>
      </c>
      <c r="N90" s="4" t="s">
        <v>10</v>
      </c>
      <c r="O90" s="4" t="s">
        <v>11</v>
      </c>
      <c r="P90" s="9"/>
      <c r="Q90" s="12"/>
    </row>
    <row r="91" spans="1:17" s="8" customFormat="1">
      <c r="A91" s="13" t="s">
        <v>76</v>
      </c>
      <c r="C91" s="4">
        <v>10918</v>
      </c>
      <c r="D91" s="4">
        <f t="shared" ref="D91:O91" si="17">IF(AND(D93="",D92=""),"",C91+D93-D92)</f>
        <v>10918</v>
      </c>
      <c r="E91" s="4">
        <f t="shared" si="17"/>
        <v>10918</v>
      </c>
      <c r="F91" s="4">
        <f t="shared" si="17"/>
        <v>10918</v>
      </c>
      <c r="G91" s="4">
        <f t="shared" si="17"/>
        <v>10918</v>
      </c>
      <c r="H91" s="4">
        <f t="shared" si="17"/>
        <v>10918</v>
      </c>
      <c r="I91" s="4">
        <f t="shared" si="17"/>
        <v>10918</v>
      </c>
      <c r="J91" s="4">
        <f t="shared" si="17"/>
        <v>10918</v>
      </c>
      <c r="K91" s="4">
        <f t="shared" si="17"/>
        <v>10918</v>
      </c>
      <c r="L91" s="4">
        <f t="shared" si="17"/>
        <v>10918</v>
      </c>
      <c r="M91" s="5">
        <f t="shared" si="17"/>
        <v>9023.82</v>
      </c>
      <c r="N91" s="4">
        <f t="shared" si="17"/>
        <v>8689.16</v>
      </c>
      <c r="O91" s="6">
        <f t="shared" si="17"/>
        <v>8689.16</v>
      </c>
      <c r="Q91" s="19"/>
    </row>
    <row r="92" spans="1:17" s="8" customFormat="1">
      <c r="A92" s="8" t="s">
        <v>77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0">
        <v>1894.18</v>
      </c>
      <c r="N92" s="9">
        <v>334.66</v>
      </c>
      <c r="O92" s="11">
        <v>0</v>
      </c>
      <c r="Q92" s="19"/>
    </row>
    <row r="93" spans="1:17" s="8" customFormat="1">
      <c r="A93" s="8" t="s">
        <v>78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0">
        <v>0</v>
      </c>
      <c r="N93" s="9">
        <v>0</v>
      </c>
      <c r="O93" s="11">
        <v>0</v>
      </c>
      <c r="Q93" s="19"/>
    </row>
    <row r="94" spans="1:17" s="8" customFormat="1">
      <c r="A94" s="13" t="s">
        <v>79</v>
      </c>
      <c r="B94" s="13"/>
      <c r="C94" s="4">
        <v>91</v>
      </c>
      <c r="D94" s="4">
        <f t="shared" ref="D94:O94" si="18">IF(AND(D96="",D95=""),"",C94+D96-D95)</f>
        <v>1661</v>
      </c>
      <c r="E94" s="4">
        <f t="shared" si="18"/>
        <v>1661</v>
      </c>
      <c r="F94" s="4">
        <f t="shared" si="18"/>
        <v>1661</v>
      </c>
      <c r="G94" s="4">
        <f t="shared" si="18"/>
        <v>1661</v>
      </c>
      <c r="H94" s="4">
        <f t="shared" si="18"/>
        <v>546.29</v>
      </c>
      <c r="I94" s="4">
        <f t="shared" si="18"/>
        <v>1826.29</v>
      </c>
      <c r="J94" s="4">
        <f t="shared" si="18"/>
        <v>3126.29</v>
      </c>
      <c r="K94" s="4">
        <f t="shared" si="18"/>
        <v>3126.29</v>
      </c>
      <c r="L94" s="4">
        <f t="shared" si="18"/>
        <v>3126.29</v>
      </c>
      <c r="M94" s="5">
        <f t="shared" si="18"/>
        <v>3126.29</v>
      </c>
      <c r="N94" s="4">
        <f t="shared" si="18"/>
        <v>3126.29</v>
      </c>
      <c r="O94" s="6">
        <f t="shared" si="18"/>
        <v>3126.29</v>
      </c>
      <c r="Q94" s="19"/>
    </row>
    <row r="95" spans="1:17" s="8" customFormat="1">
      <c r="A95" s="8" t="s">
        <v>77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1114.71</v>
      </c>
      <c r="I95" s="9">
        <v>0</v>
      </c>
      <c r="J95" s="9">
        <v>0</v>
      </c>
      <c r="K95" s="9">
        <v>0</v>
      </c>
      <c r="L95" s="9">
        <v>0</v>
      </c>
      <c r="M95" s="10">
        <v>0</v>
      </c>
      <c r="N95" s="9">
        <v>0</v>
      </c>
      <c r="O95" s="11">
        <v>0</v>
      </c>
      <c r="Q95" s="19"/>
    </row>
    <row r="96" spans="1:17" s="8" customFormat="1">
      <c r="A96" s="8" t="s">
        <v>78</v>
      </c>
      <c r="C96" s="9">
        <v>0</v>
      </c>
      <c r="D96" s="9">
        <v>1570</v>
      </c>
      <c r="E96" s="9">
        <v>0</v>
      </c>
      <c r="F96" s="9">
        <v>0</v>
      </c>
      <c r="G96" s="9">
        <v>0</v>
      </c>
      <c r="H96" s="9">
        <v>0</v>
      </c>
      <c r="I96" s="9">
        <f>500+500+250+30</f>
        <v>1280</v>
      </c>
      <c r="J96" s="9">
        <v>1300</v>
      </c>
      <c r="K96" s="9">
        <v>0</v>
      </c>
      <c r="L96" s="9">
        <v>0</v>
      </c>
      <c r="M96" s="10">
        <v>0</v>
      </c>
      <c r="N96" s="9">
        <v>0</v>
      </c>
      <c r="O96" s="11">
        <v>0</v>
      </c>
      <c r="Q96" s="19"/>
    </row>
    <row r="97" spans="1:17" s="8" customFormat="1">
      <c r="A97" s="13" t="s">
        <v>113</v>
      </c>
      <c r="B97" s="13"/>
      <c r="C97" s="4">
        <v>19641</v>
      </c>
      <c r="D97" s="4">
        <f t="shared" ref="D97:O97" si="19">IF(AND(D99="",D98=""),"",C97+D99-D98)</f>
        <v>24428.82</v>
      </c>
      <c r="E97" s="4">
        <f t="shared" si="19"/>
        <v>24428.82</v>
      </c>
      <c r="F97" s="4">
        <f t="shared" si="19"/>
        <v>24428.82</v>
      </c>
      <c r="G97" s="4">
        <f t="shared" si="19"/>
        <v>24428.82</v>
      </c>
      <c r="H97" s="4">
        <f t="shared" si="19"/>
        <v>24428.82</v>
      </c>
      <c r="I97" s="4">
        <f t="shared" si="19"/>
        <v>24428.82</v>
      </c>
      <c r="J97" s="4">
        <f t="shared" si="19"/>
        <v>24428.82</v>
      </c>
      <c r="K97" s="4">
        <f t="shared" si="19"/>
        <v>24428.82</v>
      </c>
      <c r="L97" s="4">
        <f t="shared" si="19"/>
        <v>24428.82</v>
      </c>
      <c r="M97" s="5">
        <f t="shared" si="19"/>
        <v>24428.82</v>
      </c>
      <c r="N97" s="4">
        <f t="shared" si="19"/>
        <v>24428.82</v>
      </c>
      <c r="O97" s="6">
        <f t="shared" si="19"/>
        <v>24428.82</v>
      </c>
      <c r="Q97" s="19"/>
    </row>
    <row r="98" spans="1:17" s="8" customFormat="1">
      <c r="A98" s="8" t="s">
        <v>77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0">
        <v>0</v>
      </c>
      <c r="N98" s="9">
        <v>0</v>
      </c>
      <c r="O98" s="11">
        <v>0</v>
      </c>
      <c r="Q98" s="19"/>
    </row>
    <row r="99" spans="1:17" s="8" customFormat="1">
      <c r="A99" s="8" t="s">
        <v>78</v>
      </c>
      <c r="C99" s="9">
        <v>0</v>
      </c>
      <c r="D99" s="9">
        <v>4787.82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0">
        <v>0</v>
      </c>
      <c r="N99" s="9">
        <v>0</v>
      </c>
      <c r="O99" s="11">
        <v>0</v>
      </c>
      <c r="Q99" s="19"/>
    </row>
    <row r="100" spans="1:17" s="8" customFormat="1">
      <c r="A100" s="3" t="s">
        <v>80</v>
      </c>
      <c r="C100" s="4">
        <v>7569</v>
      </c>
      <c r="D100" s="4">
        <f t="shared" ref="D100:O100" si="20">IF(AND(D102="",D101=""),"",C100+D102-D101)</f>
        <v>7569</v>
      </c>
      <c r="E100" s="4">
        <f t="shared" si="20"/>
        <v>6610.07</v>
      </c>
      <c r="F100" s="4">
        <f t="shared" si="20"/>
        <v>6610.07</v>
      </c>
      <c r="G100" s="4">
        <f t="shared" si="20"/>
        <v>6610.07</v>
      </c>
      <c r="H100" s="4">
        <f t="shared" si="20"/>
        <v>6610.07</v>
      </c>
      <c r="I100" s="4">
        <f t="shared" si="20"/>
        <v>6610.07</v>
      </c>
      <c r="J100" s="4">
        <f t="shared" si="20"/>
        <v>6610.07</v>
      </c>
      <c r="K100" s="4">
        <f t="shared" si="20"/>
        <v>6610.07</v>
      </c>
      <c r="L100" s="4">
        <f t="shared" si="20"/>
        <v>6610.07</v>
      </c>
      <c r="M100" s="5">
        <f t="shared" si="20"/>
        <v>6610.07</v>
      </c>
      <c r="N100" s="4">
        <f t="shared" si="20"/>
        <v>6610.07</v>
      </c>
      <c r="O100" s="6">
        <f t="shared" si="20"/>
        <v>6610.07</v>
      </c>
      <c r="Q100" s="19"/>
    </row>
    <row r="101" spans="1:17" s="8" customFormat="1">
      <c r="A101" s="8" t="s">
        <v>77</v>
      </c>
      <c r="C101" s="9">
        <v>0</v>
      </c>
      <c r="D101" s="9">
        <v>0</v>
      </c>
      <c r="E101" s="9">
        <v>958.93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10">
        <v>0</v>
      </c>
      <c r="N101" s="9">
        <v>0</v>
      </c>
      <c r="O101" s="11">
        <v>0</v>
      </c>
      <c r="Q101" s="19"/>
    </row>
    <row r="102" spans="1:17" s="8" customFormat="1">
      <c r="A102" s="8" t="s">
        <v>78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10">
        <v>0</v>
      </c>
      <c r="N102" s="9">
        <v>0</v>
      </c>
      <c r="O102" s="11">
        <v>0</v>
      </c>
      <c r="Q102" s="19"/>
    </row>
    <row r="103" spans="1:17" s="8" customFormat="1">
      <c r="A103" s="3" t="s">
        <v>105</v>
      </c>
      <c r="C103" s="21">
        <v>0</v>
      </c>
      <c r="D103" s="4">
        <f t="shared" ref="D103:O103" si="21">IF(AND(D105="",D104=""),"",C103+D105-D104)</f>
        <v>500</v>
      </c>
      <c r="E103" s="4">
        <f t="shared" si="21"/>
        <v>500</v>
      </c>
      <c r="F103" s="4">
        <f t="shared" si="21"/>
        <v>500</v>
      </c>
      <c r="G103" s="4">
        <f t="shared" si="21"/>
        <v>500</v>
      </c>
      <c r="H103" s="4">
        <f t="shared" si="21"/>
        <v>500</v>
      </c>
      <c r="I103" s="4">
        <f t="shared" si="21"/>
        <v>500</v>
      </c>
      <c r="J103" s="4">
        <f t="shared" si="21"/>
        <v>500</v>
      </c>
      <c r="K103" s="4">
        <f t="shared" si="21"/>
        <v>500</v>
      </c>
      <c r="L103" s="4">
        <f t="shared" si="21"/>
        <v>500</v>
      </c>
      <c r="M103" s="5">
        <f t="shared" si="21"/>
        <v>500</v>
      </c>
      <c r="N103" s="4">
        <f t="shared" si="21"/>
        <v>500</v>
      </c>
      <c r="O103" s="6">
        <f t="shared" si="21"/>
        <v>923</v>
      </c>
      <c r="P103" s="9"/>
      <c r="Q103" s="12"/>
    </row>
    <row r="104" spans="1:17" s="8" customFormat="1">
      <c r="A104" s="8" t="s">
        <v>77</v>
      </c>
      <c r="C104" s="22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0">
        <v>0</v>
      </c>
      <c r="N104" s="9">
        <v>0</v>
      </c>
      <c r="O104" s="11">
        <v>0</v>
      </c>
      <c r="P104" s="9"/>
      <c r="Q104" s="12"/>
    </row>
    <row r="105" spans="1:17" s="8" customFormat="1">
      <c r="A105" s="8" t="s">
        <v>78</v>
      </c>
      <c r="C105" s="23">
        <v>0</v>
      </c>
      <c r="D105" s="9">
        <v>500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0">
        <v>0</v>
      </c>
      <c r="N105" s="9">
        <v>0</v>
      </c>
      <c r="O105" s="11">
        <v>423</v>
      </c>
      <c r="P105" s="9"/>
      <c r="Q105" s="12"/>
    </row>
    <row r="106" spans="1:17" s="8" customFormat="1">
      <c r="A106" s="13" t="s">
        <v>12</v>
      </c>
      <c r="C106" s="4">
        <f>C91+C94+C97+C100+C103</f>
        <v>38219</v>
      </c>
      <c r="D106" s="4">
        <f t="shared" ref="D106:O106" si="22">D91+D94+D97+D100+D103</f>
        <v>45076.82</v>
      </c>
      <c r="E106" s="4">
        <f t="shared" si="22"/>
        <v>44117.89</v>
      </c>
      <c r="F106" s="4">
        <f t="shared" si="22"/>
        <v>44117.89</v>
      </c>
      <c r="G106" s="4">
        <f t="shared" si="22"/>
        <v>44117.89</v>
      </c>
      <c r="H106" s="4">
        <f t="shared" si="22"/>
        <v>43003.18</v>
      </c>
      <c r="I106" s="4">
        <f t="shared" si="22"/>
        <v>44283.18</v>
      </c>
      <c r="J106" s="4">
        <f t="shared" si="22"/>
        <v>45583.18</v>
      </c>
      <c r="K106" s="4">
        <f t="shared" si="22"/>
        <v>45583.18</v>
      </c>
      <c r="L106" s="4">
        <f t="shared" si="22"/>
        <v>45583.18</v>
      </c>
      <c r="M106" s="5">
        <f t="shared" si="22"/>
        <v>43689</v>
      </c>
      <c r="N106" s="4">
        <f t="shared" si="22"/>
        <v>43354.340000000004</v>
      </c>
      <c r="O106" s="6">
        <f t="shared" si="22"/>
        <v>43777.340000000004</v>
      </c>
      <c r="Q106" s="19"/>
    </row>
    <row r="107" spans="1:17" s="8" customFormat="1">
      <c r="A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5"/>
      <c r="N107" s="4"/>
      <c r="O107" s="6"/>
      <c r="P107" s="9"/>
      <c r="Q107" s="12"/>
    </row>
    <row r="108" spans="1:17" s="8" customFormat="1">
      <c r="A108" s="3" t="s">
        <v>81</v>
      </c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5"/>
      <c r="N108" s="4"/>
      <c r="O108" s="6"/>
      <c r="P108" s="9"/>
      <c r="Q108" s="12"/>
    </row>
    <row r="109" spans="1:17" s="8" customFormat="1">
      <c r="A109" s="3" t="s">
        <v>82</v>
      </c>
      <c r="B109" s="13"/>
      <c r="C109" s="4">
        <v>786</v>
      </c>
      <c r="D109" s="4">
        <f t="shared" ref="D109:O109" si="23">IF(AND(D111="",D110=""),"",C109+D111-D110)</f>
        <v>786</v>
      </c>
      <c r="E109" s="4">
        <f t="shared" si="23"/>
        <v>786</v>
      </c>
      <c r="F109" s="4">
        <f t="shared" si="23"/>
        <v>786</v>
      </c>
      <c r="G109" s="4">
        <f t="shared" si="23"/>
        <v>786</v>
      </c>
      <c r="H109" s="4">
        <f t="shared" si="23"/>
        <v>786</v>
      </c>
      <c r="I109" s="4">
        <f t="shared" si="23"/>
        <v>786</v>
      </c>
      <c r="J109" s="4">
        <f t="shared" si="23"/>
        <v>786</v>
      </c>
      <c r="K109" s="4">
        <f t="shared" si="23"/>
        <v>786</v>
      </c>
      <c r="L109" s="4">
        <f t="shared" si="23"/>
        <v>786</v>
      </c>
      <c r="M109" s="5">
        <f t="shared" si="23"/>
        <v>786</v>
      </c>
      <c r="N109" s="4">
        <f t="shared" si="23"/>
        <v>786</v>
      </c>
      <c r="O109" s="6">
        <f t="shared" si="23"/>
        <v>786</v>
      </c>
      <c r="Q109" s="19"/>
    </row>
    <row r="110" spans="1:17" s="8" customFormat="1">
      <c r="A110" s="8" t="s">
        <v>77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10">
        <v>0</v>
      </c>
      <c r="N110" s="9">
        <v>0</v>
      </c>
      <c r="O110" s="11">
        <v>0</v>
      </c>
      <c r="Q110" s="19"/>
    </row>
    <row r="111" spans="1:17" s="8" customFormat="1">
      <c r="A111" s="8" t="s">
        <v>78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10">
        <v>0</v>
      </c>
      <c r="N111" s="9">
        <v>0</v>
      </c>
      <c r="O111" s="11">
        <v>0</v>
      </c>
      <c r="Q111" s="19"/>
    </row>
    <row r="112" spans="1:17" s="8" customFormat="1">
      <c r="A112" s="3" t="s">
        <v>83</v>
      </c>
      <c r="C112" s="4">
        <v>986</v>
      </c>
      <c r="D112" s="4">
        <f t="shared" ref="D112:O112" si="24">IF(AND(D114="",D113=""),"",C112+D114-D113)</f>
        <v>986</v>
      </c>
      <c r="E112" s="4">
        <f t="shared" si="24"/>
        <v>986</v>
      </c>
      <c r="F112" s="4">
        <f t="shared" si="24"/>
        <v>986</v>
      </c>
      <c r="G112" s="4">
        <f t="shared" si="24"/>
        <v>986</v>
      </c>
      <c r="H112" s="4">
        <f t="shared" si="24"/>
        <v>986</v>
      </c>
      <c r="I112" s="4">
        <f t="shared" si="24"/>
        <v>986</v>
      </c>
      <c r="J112" s="4">
        <f t="shared" si="24"/>
        <v>986</v>
      </c>
      <c r="K112" s="4">
        <f t="shared" si="24"/>
        <v>986</v>
      </c>
      <c r="L112" s="4">
        <f t="shared" si="24"/>
        <v>986</v>
      </c>
      <c r="M112" s="5">
        <f t="shared" si="24"/>
        <v>986</v>
      </c>
      <c r="N112" s="4">
        <f t="shared" si="24"/>
        <v>986</v>
      </c>
      <c r="O112" s="6">
        <f t="shared" si="24"/>
        <v>986</v>
      </c>
      <c r="Q112" s="19"/>
    </row>
    <row r="113" spans="1:17" s="8" customFormat="1">
      <c r="A113" s="8" t="s">
        <v>77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10">
        <v>0</v>
      </c>
      <c r="N113" s="9">
        <v>0</v>
      </c>
      <c r="O113" s="11">
        <v>0</v>
      </c>
      <c r="Q113" s="19"/>
    </row>
    <row r="114" spans="1:17" s="8" customFormat="1">
      <c r="A114" s="8" t="s">
        <v>78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10">
        <v>0</v>
      </c>
      <c r="N114" s="9">
        <v>0</v>
      </c>
      <c r="O114" s="11">
        <v>0</v>
      </c>
      <c r="Q114" s="19"/>
    </row>
    <row r="115" spans="1:17" s="3" customFormat="1">
      <c r="A115" s="3" t="s">
        <v>102</v>
      </c>
      <c r="C115" s="4">
        <v>71</v>
      </c>
      <c r="D115" s="4">
        <f t="shared" ref="D115:O115" si="25">IF(AND(D117="",D116=""),"",C115+D117-D116)</f>
        <v>71</v>
      </c>
      <c r="E115" s="4">
        <f t="shared" si="25"/>
        <v>71</v>
      </c>
      <c r="F115" s="4">
        <f t="shared" si="25"/>
        <v>71</v>
      </c>
      <c r="G115" s="4">
        <f t="shared" si="25"/>
        <v>71</v>
      </c>
      <c r="H115" s="4">
        <f t="shared" si="25"/>
        <v>71</v>
      </c>
      <c r="I115" s="4">
        <f t="shared" si="25"/>
        <v>71</v>
      </c>
      <c r="J115" s="4">
        <f t="shared" si="25"/>
        <v>71</v>
      </c>
      <c r="K115" s="4">
        <f t="shared" si="25"/>
        <v>71</v>
      </c>
      <c r="L115" s="4">
        <f t="shared" si="25"/>
        <v>71</v>
      </c>
      <c r="M115" s="5">
        <f t="shared" si="25"/>
        <v>71</v>
      </c>
      <c r="N115" s="4">
        <f t="shared" si="25"/>
        <v>71</v>
      </c>
      <c r="O115" s="6">
        <f t="shared" si="25"/>
        <v>71</v>
      </c>
      <c r="Q115" s="16"/>
    </row>
    <row r="116" spans="1:17" s="8" customFormat="1">
      <c r="A116" s="24" t="s">
        <v>84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10">
        <v>0</v>
      </c>
      <c r="N116" s="9">
        <v>0</v>
      </c>
      <c r="O116" s="11">
        <v>0</v>
      </c>
      <c r="Q116" s="19"/>
    </row>
    <row r="117" spans="1:17" s="8" customFormat="1">
      <c r="A117" s="24" t="s">
        <v>85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10">
        <v>0</v>
      </c>
      <c r="N117" s="9">
        <v>0</v>
      </c>
      <c r="O117" s="11">
        <v>0</v>
      </c>
      <c r="Q117" s="19"/>
    </row>
    <row r="118" spans="1:17" s="3" customFormat="1">
      <c r="A118" s="3" t="s">
        <v>86</v>
      </c>
      <c r="C118" s="4">
        <v>1528</v>
      </c>
      <c r="D118" s="4">
        <f t="shared" ref="D118:O118" si="26">IF(AND(D120="",D119=""),"",C118+D120-D119)</f>
        <v>1321.03</v>
      </c>
      <c r="E118" s="4">
        <f t="shared" si="26"/>
        <v>558.53</v>
      </c>
      <c r="F118" s="4">
        <f t="shared" si="26"/>
        <v>558.53</v>
      </c>
      <c r="G118" s="4">
        <f t="shared" si="26"/>
        <v>558.53</v>
      </c>
      <c r="H118" s="4">
        <f t="shared" si="26"/>
        <v>558.53</v>
      </c>
      <c r="I118" s="4">
        <f t="shared" si="26"/>
        <v>558.53</v>
      </c>
      <c r="J118" s="4">
        <f t="shared" si="26"/>
        <v>558.53</v>
      </c>
      <c r="K118" s="4">
        <f t="shared" si="26"/>
        <v>558.53</v>
      </c>
      <c r="L118" s="4">
        <f t="shared" si="26"/>
        <v>558.53</v>
      </c>
      <c r="M118" s="5">
        <f t="shared" si="26"/>
        <v>558.53</v>
      </c>
      <c r="N118" s="4">
        <f t="shared" si="26"/>
        <v>558.53</v>
      </c>
      <c r="O118" s="6">
        <f t="shared" si="26"/>
        <v>558.53</v>
      </c>
      <c r="Q118" s="16"/>
    </row>
    <row r="119" spans="1:17" s="8" customFormat="1">
      <c r="A119" s="24" t="s">
        <v>84</v>
      </c>
      <c r="C119" s="9">
        <v>0</v>
      </c>
      <c r="D119" s="9">
        <v>206.97</v>
      </c>
      <c r="E119" s="9">
        <v>762.5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10">
        <v>0</v>
      </c>
      <c r="N119" s="9">
        <v>0</v>
      </c>
      <c r="O119" s="11">
        <v>0</v>
      </c>
      <c r="Q119" s="19"/>
    </row>
    <row r="120" spans="1:17" s="8" customFormat="1">
      <c r="A120" s="24" t="s">
        <v>85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10">
        <v>0</v>
      </c>
      <c r="N120" s="9">
        <v>0</v>
      </c>
      <c r="O120" s="11">
        <v>0</v>
      </c>
      <c r="Q120" s="19"/>
    </row>
    <row r="121" spans="1:17" s="8" customFormat="1">
      <c r="A121" s="3" t="s">
        <v>87</v>
      </c>
      <c r="C121" s="4">
        <v>2844</v>
      </c>
      <c r="D121" s="4">
        <f t="shared" ref="D121:O121" si="27">IF(AND(D123="",D122=""),"",C121+D123-D122)</f>
        <v>2506.5700000000002</v>
      </c>
      <c r="E121" s="4">
        <f t="shared" si="27"/>
        <v>2506.5700000000002</v>
      </c>
      <c r="F121" s="4">
        <f t="shared" si="27"/>
        <v>2506.5700000000002</v>
      </c>
      <c r="G121" s="4">
        <f t="shared" si="27"/>
        <v>2506.5700000000002</v>
      </c>
      <c r="H121" s="4">
        <f t="shared" si="27"/>
        <v>2606.5700000000002</v>
      </c>
      <c r="I121" s="4">
        <f t="shared" si="27"/>
        <v>2606.5700000000002</v>
      </c>
      <c r="J121" s="4">
        <f t="shared" si="27"/>
        <v>2606.5700000000002</v>
      </c>
      <c r="K121" s="4">
        <f t="shared" si="27"/>
        <v>2606.5700000000002</v>
      </c>
      <c r="L121" s="4">
        <f t="shared" si="27"/>
        <v>2606.5700000000002</v>
      </c>
      <c r="M121" s="5">
        <f t="shared" si="27"/>
        <v>2606.5700000000002</v>
      </c>
      <c r="N121" s="4">
        <f t="shared" si="27"/>
        <v>2606.5700000000002</v>
      </c>
      <c r="O121" s="6">
        <f t="shared" si="27"/>
        <v>2551.8300000000004</v>
      </c>
      <c r="Q121" s="19"/>
    </row>
    <row r="122" spans="1:17" s="8" customFormat="1">
      <c r="A122" s="8" t="s">
        <v>77</v>
      </c>
      <c r="C122" s="9">
        <v>0</v>
      </c>
      <c r="D122" s="9">
        <v>337.43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10">
        <v>0</v>
      </c>
      <c r="N122" s="9">
        <v>0</v>
      </c>
      <c r="O122" s="11">
        <v>54.74</v>
      </c>
      <c r="Q122" s="19"/>
    </row>
    <row r="123" spans="1:17" s="8" customFormat="1">
      <c r="A123" s="8" t="s">
        <v>78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100</v>
      </c>
      <c r="I123" s="9">
        <v>0</v>
      </c>
      <c r="J123" s="9">
        <v>0</v>
      </c>
      <c r="K123" s="9">
        <v>0</v>
      </c>
      <c r="L123" s="9">
        <v>0</v>
      </c>
      <c r="M123" s="10">
        <v>0</v>
      </c>
      <c r="N123" s="9">
        <v>0</v>
      </c>
      <c r="O123" s="11">
        <v>0</v>
      </c>
      <c r="Q123" s="19"/>
    </row>
    <row r="124" spans="1:17" s="8" customFormat="1">
      <c r="A124" s="3" t="s">
        <v>88</v>
      </c>
      <c r="C124" s="4">
        <v>224</v>
      </c>
      <c r="D124" s="4">
        <f t="shared" ref="D124:J124" si="28">IF(AND(D126="",D125=""),"",C124+D126-D125)</f>
        <v>224</v>
      </c>
      <c r="E124" s="4">
        <f t="shared" si="28"/>
        <v>224</v>
      </c>
      <c r="F124" s="4">
        <f t="shared" si="28"/>
        <v>224</v>
      </c>
      <c r="G124" s="4">
        <f t="shared" si="28"/>
        <v>224</v>
      </c>
      <c r="H124" s="4">
        <f t="shared" si="28"/>
        <v>224</v>
      </c>
      <c r="I124" s="4">
        <f t="shared" si="28"/>
        <v>224</v>
      </c>
      <c r="J124" s="4">
        <f t="shared" si="28"/>
        <v>224</v>
      </c>
      <c r="K124" s="4">
        <f>IF(AND(K126="",K125=""),"",J124+K126-K125)</f>
        <v>24</v>
      </c>
      <c r="L124" s="4">
        <f t="shared" ref="L124:O124" si="29">IF(AND(L126="",L125=""),"",K124+L126-L125)</f>
        <v>24</v>
      </c>
      <c r="M124" s="5">
        <f t="shared" si="29"/>
        <v>24</v>
      </c>
      <c r="N124" s="4">
        <f t="shared" si="29"/>
        <v>24</v>
      </c>
      <c r="O124" s="6">
        <f t="shared" si="29"/>
        <v>75.5</v>
      </c>
      <c r="Q124" s="19"/>
    </row>
    <row r="125" spans="1:17" s="8" customFormat="1">
      <c r="A125" s="8" t="s">
        <v>77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200</v>
      </c>
      <c r="L125" s="9">
        <v>0</v>
      </c>
      <c r="M125" s="10">
        <v>0</v>
      </c>
      <c r="N125" s="9">
        <v>0</v>
      </c>
      <c r="O125" s="11">
        <v>0</v>
      </c>
      <c r="Q125" s="19"/>
    </row>
    <row r="126" spans="1:17" s="8" customFormat="1">
      <c r="A126" s="8" t="s">
        <v>78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10">
        <v>0</v>
      </c>
      <c r="N126" s="9">
        <v>0</v>
      </c>
      <c r="O126" s="11">
        <v>51.5</v>
      </c>
      <c r="Q126" s="19"/>
    </row>
    <row r="127" spans="1:17" s="3" customFormat="1">
      <c r="A127" s="3" t="s">
        <v>90</v>
      </c>
      <c r="C127" s="4">
        <v>1089</v>
      </c>
      <c r="D127" s="4">
        <f t="shared" ref="D127:O127" si="30">IF(AND(D129="",D128=""),"",C127+D129-D128)</f>
        <v>1089</v>
      </c>
      <c r="E127" s="4">
        <f t="shared" si="30"/>
        <v>1089</v>
      </c>
      <c r="F127" s="4">
        <f t="shared" si="30"/>
        <v>1089</v>
      </c>
      <c r="G127" s="4">
        <f t="shared" si="30"/>
        <v>1089</v>
      </c>
      <c r="H127" s="4">
        <f t="shared" si="30"/>
        <v>1089</v>
      </c>
      <c r="I127" s="4">
        <f t="shared" si="30"/>
        <v>1089</v>
      </c>
      <c r="J127" s="4">
        <f t="shared" si="30"/>
        <v>1209</v>
      </c>
      <c r="K127" s="4">
        <f t="shared" si="30"/>
        <v>1209</v>
      </c>
      <c r="L127" s="4">
        <f t="shared" si="30"/>
        <v>1209</v>
      </c>
      <c r="M127" s="5">
        <f t="shared" si="30"/>
        <v>1209</v>
      </c>
      <c r="N127" s="4">
        <f t="shared" si="30"/>
        <v>1209</v>
      </c>
      <c r="O127" s="6">
        <f t="shared" si="30"/>
        <v>1209</v>
      </c>
      <c r="Q127" s="16"/>
    </row>
    <row r="128" spans="1:17" s="8" customFormat="1">
      <c r="A128" s="8" t="s">
        <v>77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10">
        <v>0</v>
      </c>
      <c r="N128" s="9">
        <v>0</v>
      </c>
      <c r="O128" s="11">
        <v>0</v>
      </c>
      <c r="Q128" s="19"/>
    </row>
    <row r="129" spans="1:17" s="8" customFormat="1">
      <c r="A129" s="8" t="s">
        <v>78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120</v>
      </c>
      <c r="K129" s="9">
        <v>0</v>
      </c>
      <c r="L129" s="9">
        <v>0</v>
      </c>
      <c r="M129" s="10">
        <v>0</v>
      </c>
      <c r="N129" s="9">
        <v>0</v>
      </c>
      <c r="O129" s="11">
        <v>0</v>
      </c>
      <c r="Q129" s="19"/>
    </row>
    <row r="130" spans="1:17" s="3" customFormat="1">
      <c r="A130" s="3" t="s">
        <v>91</v>
      </c>
      <c r="C130" s="4">
        <v>1437</v>
      </c>
      <c r="D130" s="4">
        <f t="shared" ref="D130:O130" si="31">IF(AND(D132="",D131=""),"",C130+D132-D131)</f>
        <v>0</v>
      </c>
      <c r="E130" s="4">
        <f t="shared" si="31"/>
        <v>0</v>
      </c>
      <c r="F130" s="4">
        <f t="shared" si="31"/>
        <v>0</v>
      </c>
      <c r="G130" s="4">
        <f t="shared" si="31"/>
        <v>0</v>
      </c>
      <c r="H130" s="4">
        <f t="shared" si="31"/>
        <v>0</v>
      </c>
      <c r="I130" s="4">
        <f t="shared" si="31"/>
        <v>0</v>
      </c>
      <c r="J130" s="4">
        <f t="shared" si="31"/>
        <v>1174.5</v>
      </c>
      <c r="K130" s="4">
        <f t="shared" si="31"/>
        <v>1174.5</v>
      </c>
      <c r="L130" s="4">
        <f t="shared" si="31"/>
        <v>1174.5</v>
      </c>
      <c r="M130" s="5">
        <f t="shared" si="31"/>
        <v>1174.5</v>
      </c>
      <c r="N130" s="4">
        <f t="shared" si="31"/>
        <v>1174.5</v>
      </c>
      <c r="O130" s="6">
        <f t="shared" si="31"/>
        <v>1174.5</v>
      </c>
      <c r="Q130" s="16"/>
    </row>
    <row r="131" spans="1:17" s="8" customFormat="1">
      <c r="A131" s="8" t="s">
        <v>77</v>
      </c>
      <c r="C131" s="9">
        <v>0</v>
      </c>
      <c r="D131" s="9">
        <v>1437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10">
        <v>0</v>
      </c>
      <c r="N131" s="9">
        <v>0</v>
      </c>
      <c r="O131" s="11">
        <v>0</v>
      </c>
      <c r="Q131" s="19"/>
    </row>
    <row r="132" spans="1:17" s="8" customFormat="1">
      <c r="A132" s="8" t="s">
        <v>78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1174.5</v>
      </c>
      <c r="K132" s="9">
        <v>0</v>
      </c>
      <c r="L132" s="9">
        <v>0</v>
      </c>
      <c r="M132" s="10">
        <v>0</v>
      </c>
      <c r="N132" s="9">
        <v>0</v>
      </c>
      <c r="O132" s="11">
        <v>0</v>
      </c>
      <c r="Q132" s="19"/>
    </row>
    <row r="133" spans="1:17" s="8" customFormat="1">
      <c r="A133" s="3" t="s">
        <v>92</v>
      </c>
      <c r="B133" s="3"/>
      <c r="C133" s="4">
        <v>456</v>
      </c>
      <c r="D133" s="4">
        <f t="shared" ref="D133:O133" si="32">IF(AND(D135="",D134=""),"",C133+D135-D134)</f>
        <v>456</v>
      </c>
      <c r="E133" s="4">
        <f t="shared" si="32"/>
        <v>456</v>
      </c>
      <c r="F133" s="4">
        <f t="shared" si="32"/>
        <v>456</v>
      </c>
      <c r="G133" s="4">
        <f t="shared" si="32"/>
        <v>456</v>
      </c>
      <c r="H133" s="4">
        <f t="shared" si="32"/>
        <v>581</v>
      </c>
      <c r="I133" s="4">
        <f t="shared" si="32"/>
        <v>581</v>
      </c>
      <c r="J133" s="4">
        <f t="shared" si="32"/>
        <v>581</v>
      </c>
      <c r="K133" s="4">
        <f t="shared" si="32"/>
        <v>581</v>
      </c>
      <c r="L133" s="4">
        <f t="shared" si="32"/>
        <v>581</v>
      </c>
      <c r="M133" s="5">
        <f t="shared" si="32"/>
        <v>581</v>
      </c>
      <c r="N133" s="4">
        <f t="shared" si="32"/>
        <v>581</v>
      </c>
      <c r="O133" s="6">
        <f t="shared" si="32"/>
        <v>706</v>
      </c>
      <c r="Q133" s="19"/>
    </row>
    <row r="134" spans="1:17" s="8" customFormat="1">
      <c r="A134" s="8" t="s">
        <v>77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10">
        <v>0</v>
      </c>
      <c r="N134" s="9">
        <v>0</v>
      </c>
      <c r="O134" s="11">
        <v>0</v>
      </c>
      <c r="Q134" s="19"/>
    </row>
    <row r="135" spans="1:17" s="8" customFormat="1">
      <c r="A135" s="8" t="s">
        <v>78</v>
      </c>
      <c r="C135" s="9">
        <v>0</v>
      </c>
      <c r="D135" s="9">
        <v>0</v>
      </c>
      <c r="E135" s="9">
        <v>0</v>
      </c>
      <c r="F135" s="9">
        <v>0</v>
      </c>
      <c r="G135" s="9"/>
      <c r="H135" s="9">
        <v>125</v>
      </c>
      <c r="I135" s="9">
        <v>0</v>
      </c>
      <c r="J135" s="9">
        <v>0</v>
      </c>
      <c r="K135" s="9">
        <v>0</v>
      </c>
      <c r="L135" s="9">
        <v>0</v>
      </c>
      <c r="M135" s="10">
        <v>0</v>
      </c>
      <c r="N135" s="9">
        <v>0</v>
      </c>
      <c r="O135" s="11">
        <v>125</v>
      </c>
      <c r="Q135" s="19"/>
    </row>
    <row r="136" spans="1:17" s="8" customFormat="1">
      <c r="A136" s="3" t="s">
        <v>93</v>
      </c>
      <c r="B136" s="3"/>
      <c r="C136" s="4">
        <v>9421</v>
      </c>
      <c r="D136" s="4">
        <f>IF(OR(D109="",D112="",D115="",D118="",D121="",D124="",D127="",D130="",D133=""),"",D109+D112+D115+D118+D121+D124+D127+D130+D133)</f>
        <v>7439.6</v>
      </c>
      <c r="E136" s="4">
        <f t="shared" ref="E136:O136" si="33">IF(OR(E109="",E112="",E115="",E118="",E121="",E124="",E127="",E130="",E133=""),"",E109+E112+E115+E118+E121+E124+E127+E130+E133)</f>
        <v>6677.1</v>
      </c>
      <c r="F136" s="4">
        <f t="shared" si="33"/>
        <v>6677.1</v>
      </c>
      <c r="G136" s="4">
        <f t="shared" si="33"/>
        <v>6677.1</v>
      </c>
      <c r="H136" s="4">
        <f t="shared" si="33"/>
        <v>6902.1</v>
      </c>
      <c r="I136" s="4">
        <f t="shared" si="33"/>
        <v>6902.1</v>
      </c>
      <c r="J136" s="4">
        <f t="shared" si="33"/>
        <v>8196.6</v>
      </c>
      <c r="K136" s="4">
        <f t="shared" si="33"/>
        <v>7996.6</v>
      </c>
      <c r="L136" s="4">
        <f t="shared" si="33"/>
        <v>7996.6</v>
      </c>
      <c r="M136" s="5">
        <f t="shared" si="33"/>
        <v>7996.6</v>
      </c>
      <c r="N136" s="4">
        <f t="shared" si="33"/>
        <v>7996.6</v>
      </c>
      <c r="O136" s="6">
        <f t="shared" si="33"/>
        <v>8118.3600000000006</v>
      </c>
      <c r="Q136" s="19"/>
    </row>
    <row r="137" spans="1:17" s="8" customFormat="1">
      <c r="A137" s="3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"/>
      <c r="N137" s="4"/>
      <c r="O137" s="6"/>
      <c r="P137" s="9"/>
      <c r="Q137" s="12"/>
    </row>
    <row r="138" spans="1:17" s="8" customFormat="1">
      <c r="A138" s="3" t="s">
        <v>94</v>
      </c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"/>
      <c r="N138" s="4"/>
      <c r="O138" s="6"/>
      <c r="P138" s="4"/>
      <c r="Q138" s="12"/>
    </row>
    <row r="139" spans="1:17" s="8" customFormat="1">
      <c r="C139" s="4" t="s">
        <v>11</v>
      </c>
      <c r="D139" s="4" t="s">
        <v>0</v>
      </c>
      <c r="E139" s="4" t="s">
        <v>1</v>
      </c>
      <c r="F139" s="4" t="s">
        <v>2</v>
      </c>
      <c r="G139" s="4" t="s">
        <v>3</v>
      </c>
      <c r="H139" s="4" t="s">
        <v>4</v>
      </c>
      <c r="I139" s="4" t="s">
        <v>5</v>
      </c>
      <c r="J139" s="4" t="s">
        <v>6</v>
      </c>
      <c r="K139" s="4" t="s">
        <v>7</v>
      </c>
      <c r="L139" s="4" t="s">
        <v>8</v>
      </c>
      <c r="M139" s="5" t="s">
        <v>9</v>
      </c>
      <c r="N139" s="4" t="s">
        <v>10</v>
      </c>
      <c r="O139" s="4" t="s">
        <v>11</v>
      </c>
      <c r="P139" s="9"/>
      <c r="Q139" s="12"/>
    </row>
    <row r="140" spans="1:17" s="8" customFormat="1">
      <c r="A140" s="3" t="s">
        <v>95</v>
      </c>
      <c r="C140" s="4">
        <v>380</v>
      </c>
      <c r="D140" s="4">
        <f t="shared" ref="D140:O140" si="34">IF(AND(D142="",D142=""),"",C140+D142-D141)</f>
        <v>380</v>
      </c>
      <c r="E140" s="4">
        <f t="shared" si="34"/>
        <v>380</v>
      </c>
      <c r="F140" s="4">
        <f t="shared" si="34"/>
        <v>380</v>
      </c>
      <c r="G140" s="4">
        <f t="shared" si="34"/>
        <v>380</v>
      </c>
      <c r="H140" s="4">
        <f t="shared" si="34"/>
        <v>380</v>
      </c>
      <c r="I140" s="4">
        <f t="shared" si="34"/>
        <v>735</v>
      </c>
      <c r="J140" s="4">
        <f t="shared" si="34"/>
        <v>735</v>
      </c>
      <c r="K140" s="4">
        <f t="shared" si="34"/>
        <v>735</v>
      </c>
      <c r="L140" s="4">
        <f t="shared" si="34"/>
        <v>535</v>
      </c>
      <c r="M140" s="5">
        <f t="shared" si="34"/>
        <v>755</v>
      </c>
      <c r="N140" s="4">
        <f t="shared" si="34"/>
        <v>755</v>
      </c>
      <c r="O140" s="6">
        <f t="shared" si="34"/>
        <v>525</v>
      </c>
      <c r="Q140" s="19"/>
    </row>
    <row r="141" spans="1:17" s="8" customFormat="1">
      <c r="A141" s="8" t="s">
        <v>77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572</v>
      </c>
      <c r="M141" s="10">
        <v>0</v>
      </c>
      <c r="N141" s="9">
        <v>0</v>
      </c>
      <c r="O141" s="11">
        <v>355</v>
      </c>
      <c r="Q141" s="19"/>
    </row>
    <row r="142" spans="1:17" s="8" customFormat="1">
      <c r="A142" s="8" t="s">
        <v>78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355</v>
      </c>
      <c r="J142" s="9">
        <v>0</v>
      </c>
      <c r="K142" s="9">
        <v>0</v>
      </c>
      <c r="L142" s="9">
        <v>372</v>
      </c>
      <c r="M142" s="10">
        <v>220</v>
      </c>
      <c r="N142" s="9">
        <v>0</v>
      </c>
      <c r="O142" s="11">
        <v>125</v>
      </c>
      <c r="Q142" s="19"/>
    </row>
    <row r="143" spans="1:17" s="8" customFormat="1">
      <c r="A143" s="3" t="s">
        <v>96</v>
      </c>
      <c r="C143" s="4">
        <v>2893</v>
      </c>
      <c r="D143" s="4">
        <f t="shared" ref="D143:O143" si="35">IF(AND(D145="",D145=""),"",C143+D145-D144)</f>
        <v>2825</v>
      </c>
      <c r="E143" s="4">
        <f t="shared" si="35"/>
        <v>3647.68</v>
      </c>
      <c r="F143" s="4">
        <f t="shared" si="35"/>
        <v>3647.68</v>
      </c>
      <c r="G143" s="4">
        <f t="shared" si="35"/>
        <v>3747.68</v>
      </c>
      <c r="H143" s="4">
        <f t="shared" si="35"/>
        <v>3529.83</v>
      </c>
      <c r="I143" s="4">
        <f t="shared" si="35"/>
        <v>3529.83</v>
      </c>
      <c r="J143" s="4">
        <f t="shared" si="35"/>
        <v>3529.83</v>
      </c>
      <c r="K143" s="4">
        <f t="shared" si="35"/>
        <v>3365.2599999999998</v>
      </c>
      <c r="L143" s="4">
        <f t="shared" si="35"/>
        <v>3365.2599999999998</v>
      </c>
      <c r="M143" s="5">
        <f t="shared" si="35"/>
        <v>3465.2599999999998</v>
      </c>
      <c r="N143" s="4">
        <f t="shared" si="35"/>
        <v>3465.2599999999998</v>
      </c>
      <c r="O143" s="6">
        <f t="shared" si="35"/>
        <v>3820.2599999999998</v>
      </c>
      <c r="Q143" s="19"/>
    </row>
    <row r="144" spans="1:17" s="8" customFormat="1">
      <c r="A144" s="8" t="s">
        <v>77</v>
      </c>
      <c r="C144" s="9">
        <v>0</v>
      </c>
      <c r="D144" s="9">
        <v>68</v>
      </c>
      <c r="E144" s="9">
        <v>177.32</v>
      </c>
      <c r="F144" s="9">
        <v>0</v>
      </c>
      <c r="G144" s="9">
        <v>0</v>
      </c>
      <c r="H144" s="9">
        <v>265.91000000000003</v>
      </c>
      <c r="I144" s="9">
        <v>0</v>
      </c>
      <c r="J144" s="9">
        <v>0</v>
      </c>
      <c r="K144" s="9">
        <v>164.57</v>
      </c>
      <c r="L144" s="9">
        <v>0</v>
      </c>
      <c r="M144" s="10">
        <v>0</v>
      </c>
      <c r="N144" s="9">
        <v>0</v>
      </c>
      <c r="O144" s="11">
        <v>0</v>
      </c>
      <c r="Q144" s="19"/>
    </row>
    <row r="145" spans="1:17" s="8" customFormat="1">
      <c r="A145" s="8" t="s">
        <v>78</v>
      </c>
      <c r="C145" s="9">
        <v>0</v>
      </c>
      <c r="D145" s="9">
        <v>0</v>
      </c>
      <c r="E145" s="9">
        <v>1000</v>
      </c>
      <c r="F145" s="9">
        <v>0</v>
      </c>
      <c r="G145" s="9">
        <v>100</v>
      </c>
      <c r="H145" s="9">
        <v>48.06</v>
      </c>
      <c r="I145" s="9">
        <v>0</v>
      </c>
      <c r="J145" s="9">
        <v>0</v>
      </c>
      <c r="K145" s="9">
        <v>0</v>
      </c>
      <c r="L145" s="9">
        <v>0</v>
      </c>
      <c r="M145" s="10">
        <v>100</v>
      </c>
      <c r="N145" s="9">
        <v>0</v>
      </c>
      <c r="O145" s="11">
        <v>355</v>
      </c>
      <c r="Q145" s="19"/>
    </row>
    <row r="146" spans="1:17" s="8" customFormat="1">
      <c r="A146" s="3" t="s">
        <v>97</v>
      </c>
      <c r="C146" s="4">
        <v>2572</v>
      </c>
      <c r="D146" s="4">
        <f t="shared" ref="D146:O146" si="36">IF(AND(D148="",D148=""),"",C146+D148-D147)</f>
        <v>2572</v>
      </c>
      <c r="E146" s="4">
        <f t="shared" si="36"/>
        <v>2572</v>
      </c>
      <c r="F146" s="4">
        <f t="shared" si="36"/>
        <v>2572</v>
      </c>
      <c r="G146" s="4">
        <f t="shared" si="36"/>
        <v>2572</v>
      </c>
      <c r="H146" s="4">
        <f t="shared" si="36"/>
        <v>2572</v>
      </c>
      <c r="I146" s="4">
        <f t="shared" si="36"/>
        <v>2622</v>
      </c>
      <c r="J146" s="4">
        <f t="shared" si="36"/>
        <v>2622</v>
      </c>
      <c r="K146" s="4">
        <f t="shared" si="36"/>
        <v>2672</v>
      </c>
      <c r="L146" s="4">
        <f t="shared" si="36"/>
        <v>2672</v>
      </c>
      <c r="M146" s="5">
        <f t="shared" si="36"/>
        <v>2872</v>
      </c>
      <c r="N146" s="4">
        <f t="shared" si="36"/>
        <v>2722</v>
      </c>
      <c r="O146" s="6">
        <f t="shared" si="36"/>
        <v>2827.44</v>
      </c>
      <c r="Q146" s="19"/>
    </row>
    <row r="147" spans="1:17" s="8" customFormat="1">
      <c r="A147" s="8" t="s">
        <v>77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10">
        <v>0</v>
      </c>
      <c r="N147" s="9">
        <v>150</v>
      </c>
      <c r="O147" s="11">
        <v>0</v>
      </c>
      <c r="Q147" s="19"/>
    </row>
    <row r="148" spans="1:17" s="8" customFormat="1">
      <c r="A148" s="8" t="s">
        <v>78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50</v>
      </c>
      <c r="J148" s="9">
        <v>0</v>
      </c>
      <c r="K148" s="9">
        <v>50</v>
      </c>
      <c r="L148" s="9">
        <v>0</v>
      </c>
      <c r="M148" s="10">
        <v>200</v>
      </c>
      <c r="N148" s="9">
        <v>0</v>
      </c>
      <c r="O148" s="11">
        <v>105.44</v>
      </c>
      <c r="Q148" s="19"/>
    </row>
    <row r="149" spans="1:17" s="8" customFormat="1">
      <c r="A149" s="3" t="s">
        <v>98</v>
      </c>
      <c r="C149" s="4">
        <v>1015</v>
      </c>
      <c r="D149" s="4">
        <f t="shared" ref="D149:O149" si="37">IF(AND(D151="",D151=""),"",C149+D151-D150)</f>
        <v>1015</v>
      </c>
      <c r="E149" s="4">
        <f t="shared" si="37"/>
        <v>1015</v>
      </c>
      <c r="F149" s="4">
        <f t="shared" si="37"/>
        <v>1015</v>
      </c>
      <c r="G149" s="4">
        <f t="shared" si="37"/>
        <v>1015</v>
      </c>
      <c r="H149" s="4">
        <f t="shared" si="37"/>
        <v>1015</v>
      </c>
      <c r="I149" s="4">
        <f t="shared" si="37"/>
        <v>1015</v>
      </c>
      <c r="J149" s="4">
        <f t="shared" si="37"/>
        <v>1015</v>
      </c>
      <c r="K149" s="4">
        <f t="shared" si="37"/>
        <v>1015</v>
      </c>
      <c r="L149" s="4">
        <f t="shared" si="37"/>
        <v>1015</v>
      </c>
      <c r="M149" s="5">
        <f t="shared" si="37"/>
        <v>1015</v>
      </c>
      <c r="N149" s="4">
        <f t="shared" si="37"/>
        <v>1015</v>
      </c>
      <c r="O149" s="6">
        <f t="shared" si="37"/>
        <v>1015</v>
      </c>
      <c r="Q149" s="19"/>
    </row>
    <row r="150" spans="1:17" s="8" customFormat="1">
      <c r="A150" s="8" t="s">
        <v>77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10">
        <v>0</v>
      </c>
      <c r="N150" s="9">
        <v>0</v>
      </c>
      <c r="O150" s="11">
        <v>0</v>
      </c>
      <c r="Q150" s="19"/>
    </row>
    <row r="151" spans="1:17" s="8" customFormat="1">
      <c r="A151" s="8" t="s">
        <v>78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10">
        <v>0</v>
      </c>
      <c r="N151" s="9">
        <v>0</v>
      </c>
      <c r="O151" s="11">
        <v>0</v>
      </c>
      <c r="Q151" s="19"/>
    </row>
    <row r="152" spans="1:17" s="3" customFormat="1">
      <c r="A152" s="3" t="s">
        <v>99</v>
      </c>
      <c r="C152" s="4">
        <v>2825</v>
      </c>
      <c r="D152" s="4">
        <f t="shared" ref="D152:O152" si="38">IF(AND(D154="",D154=""),"",C152+D154-D153)</f>
        <v>0</v>
      </c>
      <c r="E152" s="4">
        <f t="shared" si="38"/>
        <v>0</v>
      </c>
      <c r="F152" s="4">
        <f t="shared" si="38"/>
        <v>0</v>
      </c>
      <c r="G152" s="4">
        <f t="shared" si="38"/>
        <v>50</v>
      </c>
      <c r="H152" s="4">
        <f t="shared" si="38"/>
        <v>50</v>
      </c>
      <c r="I152" s="4">
        <f t="shared" si="38"/>
        <v>150</v>
      </c>
      <c r="J152" s="4">
        <f t="shared" si="38"/>
        <v>150</v>
      </c>
      <c r="K152" s="4">
        <f t="shared" si="38"/>
        <v>150</v>
      </c>
      <c r="L152" s="4">
        <f t="shared" si="38"/>
        <v>150</v>
      </c>
      <c r="M152" s="5">
        <f t="shared" si="38"/>
        <v>150</v>
      </c>
      <c r="N152" s="4">
        <f t="shared" si="38"/>
        <v>660</v>
      </c>
      <c r="O152" s="6">
        <f t="shared" si="38"/>
        <v>660</v>
      </c>
      <c r="Q152" s="16"/>
    </row>
    <row r="153" spans="1:17" s="8" customFormat="1">
      <c r="A153" s="24" t="s">
        <v>84</v>
      </c>
      <c r="C153" s="9">
        <v>0</v>
      </c>
      <c r="D153" s="9">
        <v>2825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10">
        <v>0</v>
      </c>
      <c r="N153" s="9">
        <v>0</v>
      </c>
      <c r="O153" s="11">
        <v>0</v>
      </c>
      <c r="Q153" s="19"/>
    </row>
    <row r="154" spans="1:17" s="8" customFormat="1">
      <c r="A154" s="24" t="s">
        <v>85</v>
      </c>
      <c r="C154" s="9">
        <v>0</v>
      </c>
      <c r="D154" s="9">
        <v>0</v>
      </c>
      <c r="E154" s="9">
        <v>0</v>
      </c>
      <c r="F154" s="9">
        <v>0</v>
      </c>
      <c r="G154" s="9">
        <v>50</v>
      </c>
      <c r="H154" s="9">
        <v>0</v>
      </c>
      <c r="I154" s="9">
        <v>100</v>
      </c>
      <c r="J154" s="9">
        <v>0</v>
      </c>
      <c r="K154" s="9">
        <v>0</v>
      </c>
      <c r="L154" s="9">
        <v>0</v>
      </c>
      <c r="M154" s="10">
        <v>0</v>
      </c>
      <c r="N154" s="9">
        <v>510</v>
      </c>
      <c r="O154" s="11">
        <v>0</v>
      </c>
      <c r="Q154" s="19"/>
    </row>
    <row r="155" spans="1:17" s="3" customFormat="1">
      <c r="A155" s="3" t="s">
        <v>100</v>
      </c>
      <c r="C155" s="4">
        <v>305</v>
      </c>
      <c r="D155" s="4">
        <f t="shared" ref="D155:O155" si="39">IF(AND(D157="",D157=""),"",C155+D157-D156)</f>
        <v>305</v>
      </c>
      <c r="E155" s="4">
        <f t="shared" si="39"/>
        <v>305</v>
      </c>
      <c r="F155" s="4">
        <f t="shared" si="39"/>
        <v>305</v>
      </c>
      <c r="G155" s="4">
        <f t="shared" si="39"/>
        <v>305</v>
      </c>
      <c r="H155" s="4">
        <f t="shared" si="39"/>
        <v>305</v>
      </c>
      <c r="I155" s="4">
        <f t="shared" si="39"/>
        <v>305</v>
      </c>
      <c r="J155" s="4">
        <f t="shared" si="39"/>
        <v>305</v>
      </c>
      <c r="K155" s="4">
        <f t="shared" si="39"/>
        <v>305</v>
      </c>
      <c r="L155" s="4">
        <f t="shared" si="39"/>
        <v>305</v>
      </c>
      <c r="M155" s="5">
        <f t="shared" si="39"/>
        <v>305</v>
      </c>
      <c r="N155" s="4">
        <f t="shared" si="39"/>
        <v>305</v>
      </c>
      <c r="O155" s="6">
        <f t="shared" si="39"/>
        <v>305</v>
      </c>
      <c r="Q155" s="16"/>
    </row>
    <row r="156" spans="1:17" s="8" customFormat="1">
      <c r="A156" s="24" t="s">
        <v>84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10">
        <v>0</v>
      </c>
      <c r="N156" s="9">
        <v>0</v>
      </c>
      <c r="O156" s="11">
        <v>0</v>
      </c>
      <c r="Q156" s="19"/>
    </row>
    <row r="157" spans="1:17" s="8" customFormat="1">
      <c r="A157" s="24" t="s">
        <v>85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10">
        <v>0</v>
      </c>
      <c r="N157" s="9">
        <v>0</v>
      </c>
      <c r="O157" s="11">
        <v>0</v>
      </c>
      <c r="Q157" s="19"/>
    </row>
    <row r="158" spans="1:17" s="3" customFormat="1">
      <c r="A158" s="3" t="s">
        <v>101</v>
      </c>
      <c r="C158" s="4">
        <v>313</v>
      </c>
      <c r="D158" s="4">
        <f t="shared" ref="D158:O158" si="40">IF(AND(D160="",D160=""),"",C158+D160-D159)</f>
        <v>313</v>
      </c>
      <c r="E158" s="4">
        <f t="shared" si="40"/>
        <v>313</v>
      </c>
      <c r="F158" s="4">
        <f t="shared" si="40"/>
        <v>313</v>
      </c>
      <c r="G158" s="4">
        <f t="shared" si="40"/>
        <v>313</v>
      </c>
      <c r="H158" s="4">
        <f t="shared" si="40"/>
        <v>313</v>
      </c>
      <c r="I158" s="4">
        <f t="shared" si="40"/>
        <v>313</v>
      </c>
      <c r="J158" s="4">
        <f t="shared" si="40"/>
        <v>313</v>
      </c>
      <c r="K158" s="4">
        <f t="shared" si="40"/>
        <v>313</v>
      </c>
      <c r="L158" s="4">
        <f t="shared" si="40"/>
        <v>313</v>
      </c>
      <c r="M158" s="5">
        <f t="shared" si="40"/>
        <v>313</v>
      </c>
      <c r="N158" s="4">
        <f t="shared" si="40"/>
        <v>313</v>
      </c>
      <c r="O158" s="6">
        <f t="shared" si="40"/>
        <v>313</v>
      </c>
      <c r="Q158" s="16"/>
    </row>
    <row r="159" spans="1:17" s="8" customFormat="1">
      <c r="A159" s="24" t="s">
        <v>84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10">
        <v>0</v>
      </c>
      <c r="N159" s="9">
        <v>0</v>
      </c>
      <c r="O159" s="11">
        <v>0</v>
      </c>
      <c r="Q159" s="19"/>
    </row>
    <row r="160" spans="1:17" s="8" customFormat="1">
      <c r="A160" s="24" t="s">
        <v>85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10">
        <v>0</v>
      </c>
      <c r="N160" s="9">
        <v>0</v>
      </c>
      <c r="O160" s="11">
        <v>0</v>
      </c>
      <c r="Q160" s="19"/>
    </row>
    <row r="161" spans="1:17" s="3" customFormat="1">
      <c r="A161" s="3" t="s">
        <v>112</v>
      </c>
      <c r="C161" s="4">
        <v>0</v>
      </c>
      <c r="D161" s="4">
        <v>0</v>
      </c>
      <c r="E161" s="4">
        <v>0</v>
      </c>
      <c r="F161" s="4">
        <f t="shared" ref="F161:O161" si="41">IF(AND(F163="",F163=""),"",E161+F163-F162)</f>
        <v>0</v>
      </c>
      <c r="G161" s="4">
        <f t="shared" si="41"/>
        <v>0</v>
      </c>
      <c r="H161" s="4">
        <f t="shared" si="41"/>
        <v>0</v>
      </c>
      <c r="I161" s="4">
        <f t="shared" si="41"/>
        <v>0</v>
      </c>
      <c r="J161" s="4">
        <f t="shared" si="41"/>
        <v>0</v>
      </c>
      <c r="K161" s="4">
        <f t="shared" si="41"/>
        <v>0</v>
      </c>
      <c r="L161" s="4">
        <f t="shared" si="41"/>
        <v>125</v>
      </c>
      <c r="M161" s="5">
        <f t="shared" si="41"/>
        <v>125</v>
      </c>
      <c r="N161" s="4">
        <f t="shared" si="41"/>
        <v>125</v>
      </c>
      <c r="O161" s="6">
        <f t="shared" si="41"/>
        <v>125</v>
      </c>
      <c r="Q161" s="16"/>
    </row>
    <row r="162" spans="1:17" s="8" customFormat="1">
      <c r="A162" s="24" t="s">
        <v>84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10">
        <v>0</v>
      </c>
      <c r="N162" s="9">
        <v>0</v>
      </c>
      <c r="O162" s="11">
        <v>0</v>
      </c>
      <c r="Q162" s="19"/>
    </row>
    <row r="163" spans="1:17" s="8" customFormat="1">
      <c r="A163" s="24" t="s">
        <v>85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125</v>
      </c>
      <c r="M163" s="10">
        <v>0</v>
      </c>
      <c r="N163" s="9">
        <v>0</v>
      </c>
      <c r="O163" s="11">
        <v>0</v>
      </c>
      <c r="Q163" s="19"/>
    </row>
    <row r="164" spans="1:17" s="8" customFormat="1">
      <c r="A164" s="3" t="s">
        <v>12</v>
      </c>
      <c r="C164" s="4">
        <f>IF(OR(C140="",C143="",C146="",C149="",C152="",C155="",C158=""),"",C140+C143+C146+C149+C152+C155+C158+C161)</f>
        <v>10303</v>
      </c>
      <c r="D164" s="4">
        <f>IF(OR(D140="",D143="",D146="",D149="",D152="",D155="",D158=""),"",D140+D143+D146+D149+D152+D155+D158+D161)</f>
        <v>7410</v>
      </c>
      <c r="E164" s="4">
        <f t="shared" ref="E164:O164" si="42">IF(OR(E140="",E143="",E146="",E149="",E152="",E155="",E158=""),"",E140+E143+E146+E149+E152+E155+E158+E161)</f>
        <v>8232.68</v>
      </c>
      <c r="F164" s="4">
        <f t="shared" si="42"/>
        <v>8232.68</v>
      </c>
      <c r="G164" s="4">
        <f t="shared" si="42"/>
        <v>8382.68</v>
      </c>
      <c r="H164" s="4">
        <f t="shared" si="42"/>
        <v>8164.83</v>
      </c>
      <c r="I164" s="4">
        <f t="shared" si="42"/>
        <v>8669.83</v>
      </c>
      <c r="J164" s="4">
        <f t="shared" si="42"/>
        <v>8669.83</v>
      </c>
      <c r="K164" s="4">
        <f t="shared" si="42"/>
        <v>8555.26</v>
      </c>
      <c r="L164" s="4">
        <f t="shared" si="42"/>
        <v>8480.26</v>
      </c>
      <c r="M164" s="5">
        <f t="shared" si="42"/>
        <v>9000.26</v>
      </c>
      <c r="N164" s="4">
        <f t="shared" si="42"/>
        <v>9360.26</v>
      </c>
      <c r="O164" s="6">
        <f t="shared" si="42"/>
        <v>9590.7000000000007</v>
      </c>
      <c r="Q164" s="19"/>
    </row>
    <row r="165" spans="1:17" s="8" customFormat="1">
      <c r="A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6"/>
      <c r="P165" s="9"/>
      <c r="Q165" s="12"/>
    </row>
    <row r="166" spans="1:17" s="8" customFormat="1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1"/>
      <c r="P166" s="9"/>
      <c r="Q166" s="12"/>
    </row>
    <row r="167" spans="1:17" s="8" customFormat="1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1"/>
      <c r="P167" s="9"/>
      <c r="Q167" s="12"/>
    </row>
    <row r="168" spans="1:17" s="8" customFormat="1">
      <c r="C168" s="9"/>
      <c r="D168" s="9"/>
      <c r="E168" s="9"/>
      <c r="F168" s="9"/>
      <c r="G168" s="9"/>
      <c r="H168" s="9"/>
      <c r="I168" s="9"/>
      <c r="J168" s="9"/>
      <c r="K168" s="9"/>
      <c r="L168" s="4" t="s">
        <v>89</v>
      </c>
      <c r="M168" s="9"/>
      <c r="N168" s="9"/>
      <c r="O168" s="11"/>
      <c r="P168" s="9"/>
      <c r="Q168" s="12"/>
    </row>
    <row r="169" spans="1:17" s="8" customFormat="1">
      <c r="A169" s="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1"/>
      <c r="P169" s="9"/>
      <c r="Q169" s="12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rintOptions gridLines="1"/>
  <pageMargins left="0.25" right="0.25" top="0.73350000000000004" bottom="0.73350000000000004" header="0.3" footer="0.3"/>
  <pageSetup scale="75" fitToHeight="0" orientation="landscape" horizontalDpi="180" verticalDpi="180" r:id="rId1"/>
  <headerFooter alignWithMargins="0">
    <oddHeader>&amp;C&amp;"Arial11,Regular"&amp;12&amp;K000000&amp;A</oddHeader>
    <oddFooter>&amp;C&amp;"Arial11,Regular"&amp;12&amp;K000000Page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HVUUC 2021 -2022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cp:lastPrinted>2022-01-08T00:06:45Z</cp:lastPrinted>
  <dcterms:created xsi:type="dcterms:W3CDTF">2020-07-28T22:49:01Z</dcterms:created>
  <dcterms:modified xsi:type="dcterms:W3CDTF">2022-06-19T21:14:40Z</dcterms:modified>
</cp:coreProperties>
</file>