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bjc\Documents\Treasurer\Church website\"/>
    </mc:Choice>
  </mc:AlternateContent>
  <xr:revisionPtr revIDLastSave="0" documentId="13_ncr:1_{677D4B2F-9B16-4F36-B31B-0E332E9C223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VUUC 2021 -2022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6" i="7" l="1"/>
  <c r="Q36" i="7" s="1"/>
  <c r="J10" i="7"/>
  <c r="C164" i="7" l="1"/>
  <c r="O161" i="7"/>
  <c r="N161" i="7"/>
  <c r="M161" i="7"/>
  <c r="L161" i="7"/>
  <c r="F161" i="7"/>
  <c r="G161" i="7" s="1"/>
  <c r="H161" i="7" s="1"/>
  <c r="I161" i="7" s="1"/>
  <c r="J161" i="7" s="1"/>
  <c r="K161" i="7" s="1"/>
  <c r="H10" i="7"/>
  <c r="H7" i="7"/>
  <c r="I96" i="7"/>
  <c r="E5" i="7"/>
  <c r="D5" i="7"/>
  <c r="D10" i="7" l="1"/>
  <c r="C5" i="7"/>
  <c r="C57" i="7"/>
  <c r="P62" i="7" l="1"/>
  <c r="O6" i="7"/>
  <c r="O7" i="7"/>
  <c r="O8" i="7"/>
  <c r="O9" i="7"/>
  <c r="O10" i="7"/>
  <c r="O5" i="7"/>
  <c r="Q5" i="7" s="1"/>
  <c r="C11" i="7"/>
  <c r="O54" i="7"/>
  <c r="Q54" i="7" s="1"/>
  <c r="L158" i="7" l="1"/>
  <c r="M158" i="7"/>
  <c r="N158" i="7"/>
  <c r="O158" i="7"/>
  <c r="L155" i="7"/>
  <c r="M155" i="7"/>
  <c r="N155" i="7"/>
  <c r="O155" i="7"/>
  <c r="K152" i="7"/>
  <c r="L152" i="7"/>
  <c r="M152" i="7"/>
  <c r="N152" i="7"/>
  <c r="O152" i="7"/>
  <c r="L149" i="7"/>
  <c r="M149" i="7"/>
  <c r="N149" i="7"/>
  <c r="O149" i="7"/>
  <c r="M146" i="7"/>
  <c r="N146" i="7"/>
  <c r="O146" i="7"/>
  <c r="K143" i="7"/>
  <c r="L143" i="7"/>
  <c r="M143" i="7"/>
  <c r="N143" i="7"/>
  <c r="O143" i="7"/>
  <c r="L140" i="7"/>
  <c r="M140" i="7" s="1"/>
  <c r="N140" i="7"/>
  <c r="O140" i="7"/>
  <c r="D140" i="7"/>
  <c r="D143" i="7"/>
  <c r="E143" i="7" s="1"/>
  <c r="F143" i="7" s="1"/>
  <c r="G143" i="7" s="1"/>
  <c r="H143" i="7" s="1"/>
  <c r="I143" i="7" s="1"/>
  <c r="J143" i="7" s="1"/>
  <c r="D146" i="7"/>
  <c r="E146" i="7" s="1"/>
  <c r="F146" i="7" s="1"/>
  <c r="G146" i="7" s="1"/>
  <c r="H146" i="7" s="1"/>
  <c r="I146" i="7" s="1"/>
  <c r="J146" i="7" s="1"/>
  <c r="K146" i="7" s="1"/>
  <c r="D149" i="7"/>
  <c r="E149" i="7" s="1"/>
  <c r="F149" i="7" s="1"/>
  <c r="G149" i="7" s="1"/>
  <c r="H149" i="7" s="1"/>
  <c r="I149" i="7" s="1"/>
  <c r="J149" i="7" s="1"/>
  <c r="K149" i="7" s="1"/>
  <c r="D152" i="7"/>
  <c r="E152" i="7" s="1"/>
  <c r="F152" i="7" s="1"/>
  <c r="G152" i="7" s="1"/>
  <c r="H152" i="7" s="1"/>
  <c r="I152" i="7" s="1"/>
  <c r="J152" i="7" s="1"/>
  <c r="D155" i="7"/>
  <c r="E155" i="7" s="1"/>
  <c r="F155" i="7" s="1"/>
  <c r="G155" i="7" s="1"/>
  <c r="H155" i="7" s="1"/>
  <c r="I155" i="7" s="1"/>
  <c r="J155" i="7" s="1"/>
  <c r="K155" i="7" s="1"/>
  <c r="D158" i="7"/>
  <c r="E158" i="7" s="1"/>
  <c r="F158" i="7" s="1"/>
  <c r="G158" i="7" s="1"/>
  <c r="H158" i="7" s="1"/>
  <c r="I158" i="7" s="1"/>
  <c r="J158" i="7" s="1"/>
  <c r="K158" i="7" s="1"/>
  <c r="L124" i="7"/>
  <c r="M124" i="7"/>
  <c r="N124" i="7"/>
  <c r="O124" i="7"/>
  <c r="L133" i="7"/>
  <c r="M133" i="7"/>
  <c r="N133" i="7"/>
  <c r="O133" i="7"/>
  <c r="L130" i="7"/>
  <c r="M130" i="7"/>
  <c r="N130" i="7"/>
  <c r="O130" i="7"/>
  <c r="L127" i="7"/>
  <c r="M127" i="7"/>
  <c r="N127" i="7"/>
  <c r="O127" i="7"/>
  <c r="L121" i="7"/>
  <c r="M121" i="7"/>
  <c r="N121" i="7"/>
  <c r="O121" i="7"/>
  <c r="L118" i="7"/>
  <c r="M118" i="7"/>
  <c r="N118" i="7"/>
  <c r="O118" i="7"/>
  <c r="L115" i="7"/>
  <c r="M115" i="7"/>
  <c r="N115" i="7"/>
  <c r="O115" i="7"/>
  <c r="L112" i="7"/>
  <c r="M112" i="7"/>
  <c r="N112" i="7"/>
  <c r="O112" i="7"/>
  <c r="L109" i="7"/>
  <c r="M109" i="7"/>
  <c r="N109" i="7"/>
  <c r="O109" i="7"/>
  <c r="L103" i="7"/>
  <c r="M103" i="7"/>
  <c r="N103" i="7"/>
  <c r="O103" i="7"/>
  <c r="L100" i="7"/>
  <c r="M100" i="7"/>
  <c r="N100" i="7"/>
  <c r="O100" i="7"/>
  <c r="L97" i="7"/>
  <c r="M97" i="7"/>
  <c r="N97" i="7"/>
  <c r="O97" i="7"/>
  <c r="L94" i="7"/>
  <c r="M94" i="7"/>
  <c r="N94" i="7"/>
  <c r="O94" i="7"/>
  <c r="L91" i="7"/>
  <c r="M91" i="7"/>
  <c r="N91" i="7"/>
  <c r="O91" i="7"/>
  <c r="I11" i="7"/>
  <c r="E140" i="7" l="1"/>
  <c r="D164" i="7"/>
  <c r="L164" i="7"/>
  <c r="L82" i="7" s="1"/>
  <c r="O164" i="7"/>
  <c r="O82" i="7" s="1"/>
  <c r="N164" i="7"/>
  <c r="N82" i="7" s="1"/>
  <c r="M164" i="7"/>
  <c r="M82" i="7" s="1"/>
  <c r="O136" i="7"/>
  <c r="O83" i="7" s="1"/>
  <c r="L136" i="7"/>
  <c r="L83" i="7" s="1"/>
  <c r="N136" i="7"/>
  <c r="N83" i="7" s="1"/>
  <c r="M136" i="7"/>
  <c r="M83" i="7" s="1"/>
  <c r="L106" i="7"/>
  <c r="L81" i="7" s="1"/>
  <c r="O106" i="7"/>
  <c r="O81" i="7" s="1"/>
  <c r="O85" i="7" s="1"/>
  <c r="N106" i="7"/>
  <c r="N81" i="7" s="1"/>
  <c r="N85" i="7" s="1"/>
  <c r="M106" i="7"/>
  <c r="M81" i="7" s="1"/>
  <c r="M85" i="7" s="1"/>
  <c r="D103" i="7"/>
  <c r="E103" i="7" s="1"/>
  <c r="F103" i="7" s="1"/>
  <c r="G103" i="7" s="1"/>
  <c r="H103" i="7" s="1"/>
  <c r="I103" i="7" s="1"/>
  <c r="J103" i="7" s="1"/>
  <c r="K103" i="7" s="1"/>
  <c r="C106" i="7"/>
  <c r="C81" i="7" s="1"/>
  <c r="O57" i="7"/>
  <c r="O33" i="7"/>
  <c r="Q33" i="7" s="1"/>
  <c r="O34" i="7"/>
  <c r="Q34" i="7" s="1"/>
  <c r="P11" i="7"/>
  <c r="D84" i="7" s="1"/>
  <c r="C82" i="7"/>
  <c r="D133" i="7"/>
  <c r="E133" i="7" s="1"/>
  <c r="F133" i="7" s="1"/>
  <c r="G133" i="7" s="1"/>
  <c r="H133" i="7" s="1"/>
  <c r="I133" i="7" s="1"/>
  <c r="J133" i="7" s="1"/>
  <c r="K133" i="7" s="1"/>
  <c r="D130" i="7"/>
  <c r="E130" i="7" s="1"/>
  <c r="F130" i="7" s="1"/>
  <c r="G130" i="7" s="1"/>
  <c r="H130" i="7" s="1"/>
  <c r="I130" i="7" s="1"/>
  <c r="J130" i="7" s="1"/>
  <c r="K130" i="7" s="1"/>
  <c r="D127" i="7"/>
  <c r="E127" i="7" s="1"/>
  <c r="F127" i="7" s="1"/>
  <c r="G127" i="7" s="1"/>
  <c r="H127" i="7" s="1"/>
  <c r="I127" i="7" s="1"/>
  <c r="J127" i="7" s="1"/>
  <c r="K127" i="7" s="1"/>
  <c r="D124" i="7"/>
  <c r="E124" i="7" s="1"/>
  <c r="F124" i="7" s="1"/>
  <c r="G124" i="7" s="1"/>
  <c r="H124" i="7" s="1"/>
  <c r="I124" i="7" s="1"/>
  <c r="J124" i="7" s="1"/>
  <c r="K124" i="7" s="1"/>
  <c r="D121" i="7"/>
  <c r="E121" i="7" s="1"/>
  <c r="F121" i="7" s="1"/>
  <c r="G121" i="7" s="1"/>
  <c r="H121" i="7" s="1"/>
  <c r="I121" i="7" s="1"/>
  <c r="J121" i="7" s="1"/>
  <c r="K121" i="7" s="1"/>
  <c r="D118" i="7"/>
  <c r="E118" i="7" s="1"/>
  <c r="F118" i="7" s="1"/>
  <c r="G118" i="7" s="1"/>
  <c r="H118" i="7" s="1"/>
  <c r="I118" i="7" s="1"/>
  <c r="J118" i="7" s="1"/>
  <c r="K118" i="7" s="1"/>
  <c r="D115" i="7"/>
  <c r="E115" i="7" s="1"/>
  <c r="F115" i="7" s="1"/>
  <c r="G115" i="7" s="1"/>
  <c r="H115" i="7" s="1"/>
  <c r="I115" i="7" s="1"/>
  <c r="J115" i="7" s="1"/>
  <c r="K115" i="7" s="1"/>
  <c r="D112" i="7"/>
  <c r="E112" i="7" s="1"/>
  <c r="F112" i="7" s="1"/>
  <c r="G112" i="7" s="1"/>
  <c r="H112" i="7" s="1"/>
  <c r="I112" i="7" s="1"/>
  <c r="J112" i="7" s="1"/>
  <c r="K112" i="7" s="1"/>
  <c r="D109" i="7"/>
  <c r="E109" i="7" s="1"/>
  <c r="D100" i="7"/>
  <c r="E100" i="7" s="1"/>
  <c r="F100" i="7" s="1"/>
  <c r="G100" i="7" s="1"/>
  <c r="H100" i="7" s="1"/>
  <c r="I100" i="7" s="1"/>
  <c r="J100" i="7" s="1"/>
  <c r="K100" i="7" s="1"/>
  <c r="D97" i="7"/>
  <c r="E97" i="7" s="1"/>
  <c r="F97" i="7" s="1"/>
  <c r="G97" i="7" s="1"/>
  <c r="H97" i="7" s="1"/>
  <c r="I97" i="7" s="1"/>
  <c r="J97" i="7" s="1"/>
  <c r="K97" i="7" s="1"/>
  <c r="D94" i="7"/>
  <c r="E94" i="7" s="1"/>
  <c r="F94" i="7" s="1"/>
  <c r="G94" i="7" s="1"/>
  <c r="H94" i="7" s="1"/>
  <c r="I94" i="7" s="1"/>
  <c r="J94" i="7" s="1"/>
  <c r="K94" i="7" s="1"/>
  <c r="D91" i="7"/>
  <c r="E91" i="7" s="1"/>
  <c r="F91" i="7" s="1"/>
  <c r="G91" i="7" s="1"/>
  <c r="O71" i="7"/>
  <c r="O77" i="7" s="1"/>
  <c r="N71" i="7"/>
  <c r="N80" i="7" s="1"/>
  <c r="M71" i="7"/>
  <c r="M80" i="7" s="1"/>
  <c r="L71" i="7"/>
  <c r="L80" i="7" s="1"/>
  <c r="K71" i="7"/>
  <c r="K77" i="7" s="1"/>
  <c r="J71" i="7"/>
  <c r="J77" i="7" s="1"/>
  <c r="I71" i="7"/>
  <c r="I80" i="7" s="1"/>
  <c r="H71" i="7"/>
  <c r="H77" i="7" s="1"/>
  <c r="G71" i="7"/>
  <c r="G80" i="7" s="1"/>
  <c r="F71" i="7"/>
  <c r="F80" i="7" s="1"/>
  <c r="E71" i="7"/>
  <c r="E80" i="7" s="1"/>
  <c r="D71" i="7"/>
  <c r="D80" i="7" s="1"/>
  <c r="C71" i="7"/>
  <c r="C77" i="7" s="1"/>
  <c r="N62" i="7"/>
  <c r="M62" i="7"/>
  <c r="L62" i="7"/>
  <c r="K62" i="7"/>
  <c r="J62" i="7"/>
  <c r="I62" i="7"/>
  <c r="H62" i="7"/>
  <c r="G62" i="7"/>
  <c r="F62" i="7"/>
  <c r="E62" i="7"/>
  <c r="D62" i="7"/>
  <c r="O60" i="7"/>
  <c r="O59" i="7"/>
  <c r="O58" i="7"/>
  <c r="O53" i="7"/>
  <c r="Q53" i="7" s="1"/>
  <c r="O52" i="7"/>
  <c r="Q52" i="7" s="1"/>
  <c r="O51" i="7"/>
  <c r="Q51" i="7" s="1"/>
  <c r="O50" i="7"/>
  <c r="Q50" i="7" s="1"/>
  <c r="O49" i="7"/>
  <c r="Q49" i="7" s="1"/>
  <c r="O42" i="7"/>
  <c r="Q42" i="7" s="1"/>
  <c r="O41" i="7"/>
  <c r="Q41" i="7" s="1"/>
  <c r="O40" i="7"/>
  <c r="Q40" i="7" s="1"/>
  <c r="O39" i="7"/>
  <c r="Q39" i="7" s="1"/>
  <c r="O35" i="7"/>
  <c r="Q35" i="7" s="1"/>
  <c r="O30" i="7"/>
  <c r="Q30" i="7" s="1"/>
  <c r="O29" i="7"/>
  <c r="Q29" i="7" s="1"/>
  <c r="O28" i="7"/>
  <c r="Q28" i="7" s="1"/>
  <c r="O27" i="7"/>
  <c r="Q27" i="7" s="1"/>
  <c r="O24" i="7"/>
  <c r="Q24" i="7" s="1"/>
  <c r="O23" i="7"/>
  <c r="Q23" i="7" s="1"/>
  <c r="O22" i="7"/>
  <c r="Q22" i="7" s="1"/>
  <c r="O21" i="7"/>
  <c r="Q21" i="7" s="1"/>
  <c r="O20" i="7"/>
  <c r="Q20" i="7" s="1"/>
  <c r="O19" i="7"/>
  <c r="Q19" i="7" s="1"/>
  <c r="O18" i="7"/>
  <c r="Q18" i="7" s="1"/>
  <c r="O17" i="7"/>
  <c r="Q17" i="7" s="1"/>
  <c r="N11" i="7"/>
  <c r="L11" i="7"/>
  <c r="J11" i="7"/>
  <c r="H11" i="7"/>
  <c r="G11" i="7"/>
  <c r="F11" i="7"/>
  <c r="D11" i="7"/>
  <c r="Q10" i="7"/>
  <c r="Q9" i="7"/>
  <c r="Q8" i="7"/>
  <c r="K11" i="7"/>
  <c r="Q6" i="7"/>
  <c r="M11" i="7"/>
  <c r="L85" i="7" l="1"/>
  <c r="F140" i="7"/>
  <c r="E164" i="7"/>
  <c r="E82" i="7" s="1"/>
  <c r="G106" i="7"/>
  <c r="G81" i="7" s="1"/>
  <c r="H91" i="7"/>
  <c r="E136" i="7"/>
  <c r="E83" i="7" s="1"/>
  <c r="F109" i="7"/>
  <c r="E106" i="7"/>
  <c r="E81" i="7" s="1"/>
  <c r="F106" i="7"/>
  <c r="F81" i="7" s="1"/>
  <c r="D136" i="7"/>
  <c r="D83" i="7" s="1"/>
  <c r="C80" i="7"/>
  <c r="C85" i="7" s="1"/>
  <c r="D106" i="7"/>
  <c r="D81" i="7" s="1"/>
  <c r="D77" i="7"/>
  <c r="E77" i="7"/>
  <c r="F77" i="7"/>
  <c r="G77" i="7"/>
  <c r="I77" i="7"/>
  <c r="L77" i="7"/>
  <c r="M77" i="7"/>
  <c r="N77" i="7"/>
  <c r="K63" i="7"/>
  <c r="D63" i="7"/>
  <c r="G63" i="7"/>
  <c r="F63" i="7"/>
  <c r="Q56" i="7"/>
  <c r="N63" i="7"/>
  <c r="K80" i="7"/>
  <c r="O80" i="7"/>
  <c r="L63" i="7"/>
  <c r="H80" i="7"/>
  <c r="Q7" i="7"/>
  <c r="J80" i="7"/>
  <c r="I63" i="7"/>
  <c r="H63" i="7"/>
  <c r="J63" i="7"/>
  <c r="D82" i="7"/>
  <c r="C62" i="7"/>
  <c r="C63" i="7" s="1"/>
  <c r="M63" i="7"/>
  <c r="O48" i="7"/>
  <c r="Q48" i="7" s="1"/>
  <c r="E11" i="7"/>
  <c r="E63" i="7" s="1"/>
  <c r="G140" i="7" l="1"/>
  <c r="F164" i="7"/>
  <c r="F82" i="7" s="1"/>
  <c r="E85" i="7"/>
  <c r="I91" i="7"/>
  <c r="H106" i="7"/>
  <c r="H81" i="7" s="1"/>
  <c r="F136" i="7"/>
  <c r="F83" i="7" s="1"/>
  <c r="F85" i="7" s="1"/>
  <c r="G109" i="7"/>
  <c r="D85" i="7"/>
  <c r="O11" i="7"/>
  <c r="O62" i="7"/>
  <c r="Q62" i="7" s="1"/>
  <c r="H140" i="7" l="1"/>
  <c r="G164" i="7"/>
  <c r="G82" i="7" s="1"/>
  <c r="I106" i="7"/>
  <c r="I81" i="7" s="1"/>
  <c r="J91" i="7"/>
  <c r="G136" i="7"/>
  <c r="G83" i="7" s="1"/>
  <c r="H109" i="7"/>
  <c r="Q11" i="7"/>
  <c r="O63" i="7"/>
  <c r="I140" i="7" l="1"/>
  <c r="H164" i="7"/>
  <c r="H82" i="7" s="1"/>
  <c r="G85" i="7"/>
  <c r="J106" i="7"/>
  <c r="J81" i="7" s="1"/>
  <c r="K91" i="7"/>
  <c r="K106" i="7" s="1"/>
  <c r="K81" i="7" s="1"/>
  <c r="I109" i="7"/>
  <c r="H136" i="7"/>
  <c r="H83" i="7" s="1"/>
  <c r="H85" i="7" s="1"/>
  <c r="J140" i="7" l="1"/>
  <c r="I164" i="7"/>
  <c r="I82" i="7" s="1"/>
  <c r="I136" i="7"/>
  <c r="I83" i="7" s="1"/>
  <c r="I85" i="7" s="1"/>
  <c r="J109" i="7"/>
  <c r="J136" i="7" l="1"/>
  <c r="J83" i="7" s="1"/>
  <c r="J85" i="7" s="1"/>
  <c r="K109" i="7"/>
  <c r="K136" i="7" s="1"/>
  <c r="K83" i="7" s="1"/>
  <c r="J164" i="7"/>
  <c r="J82" i="7" s="1"/>
  <c r="K140" i="7"/>
  <c r="K164" i="7" s="1"/>
  <c r="K82" i="7" s="1"/>
  <c r="K85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Deborah Helmer</author>
    <author/>
  </authors>
  <commentList>
    <comment ref="C5" authorId="0" shapeId="0" xr:uid="{781A4E15-B020-45FD-A348-6DC98374167E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$18580 from pledges received before June 1, 2021</t>
        </r>
      </text>
    </comment>
    <comment ref="D5" authorId="0" shapeId="0" xr:uid="{27364225-D935-4B44-9C26-62897A9E50C4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$71.61 from Paypal</t>
        </r>
      </text>
    </comment>
    <comment ref="E5" authorId="0" shapeId="0" xr:uid="{72AF0EB7-C256-4B32-A974-DD9A4A3DFB5F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$32.49 Amazon Smile
</t>
        </r>
      </text>
    </comment>
    <comment ref="G5" authorId="0" shapeId="0" xr:uid="{8AE13AA7-BDCC-4DBC-9239-30A1D60C80BE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$125.25 from PayPal</t>
        </r>
      </text>
    </comment>
    <comment ref="A7" authorId="1" shapeId="0" xr:uid="{D9AB6D0E-0CB3-4108-A415-2DCB9CD41F52}">
      <text>
        <r>
          <rPr>
            <sz val="10"/>
            <color rgb="FF000000"/>
            <rFont val="Arial1"/>
          </rPr>
          <t>Cards, auction and others</t>
        </r>
      </text>
    </comment>
    <comment ref="H7" authorId="0" shapeId="0" xr:uid="{AA6E31C5-27DF-4A6E-A4FD-0E3CA2AE1C94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Auction, $33.40 from Amazon Smile</t>
        </r>
      </text>
    </comment>
    <comment ref="H9" authorId="0" shapeId="0" xr:uid="{7C94D7C5-7BAB-4175-9348-C9867C5D558A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Dividend from Church Mutual</t>
        </r>
      </text>
    </comment>
    <comment ref="J9" authorId="0" shapeId="0" xr:uid="{3A78672B-97C7-4A07-8C47-35E2395F7BE5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UMC Retreat Res Refund</t>
        </r>
      </text>
    </comment>
    <comment ref="C10" authorId="0" shapeId="0" xr:uid="{0288FF9A-BE7D-4785-A83B-E0FE39FDC2D0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$1437 transferred from Endowment Designated Fund</t>
        </r>
      </text>
    </comment>
    <comment ref="D10" authorId="0" shapeId="0" xr:uid="{74404179-5D07-4070-B4F6-8DDA397EE799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Transferred from Vanguard
$33.38 from PayPal as gifts</t>
        </r>
      </text>
    </comment>
    <comment ref="H10" authorId="0" shapeId="0" xr:uid="{7F8D137C-043F-4869-8A27-EB1847D5FA56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$45 from Paypal</t>
        </r>
      </text>
    </comment>
    <comment ref="J10" authorId="0" shapeId="0" xr:uid="{3EA9289A-9FCE-4781-998F-D8B81428BFC7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Gift from the Kashdans + $66.02 from Paypal + $400 from Everhart</t>
        </r>
      </text>
    </comment>
    <comment ref="K17" authorId="0" shapeId="0" xr:uid="{9DFBFA0A-1D4F-4D6E-A608-209E4943D6DC}">
      <text>
        <r>
          <rPr>
            <b/>
            <sz val="9"/>
            <color indexed="81"/>
            <rFont val="Tahoma"/>
            <charset val="1"/>
          </rPr>
          <t>Deborah Helmer:</t>
        </r>
        <r>
          <rPr>
            <sz val="9"/>
            <color indexed="81"/>
            <rFont val="Tahoma"/>
            <charset val="1"/>
          </rPr>
          <t xml:space="preserve">
$500 for Pest Control</t>
        </r>
      </text>
    </comment>
    <comment ref="K21" authorId="0" shapeId="0" xr:uid="{CD0BADCE-E2DC-4B7D-AB0D-A10B674395BF}">
      <text>
        <r>
          <rPr>
            <b/>
            <sz val="9"/>
            <color indexed="81"/>
            <rFont val="Tahoma"/>
            <charset val="1"/>
          </rPr>
          <t>Deborah Helmer:</t>
        </r>
        <r>
          <rPr>
            <sz val="9"/>
            <color indexed="81"/>
            <rFont val="Tahoma"/>
            <charset val="1"/>
          </rPr>
          <t xml:space="preserve">
$236.52 for SquareSpace</t>
        </r>
      </text>
    </comment>
    <comment ref="K28" authorId="0" shapeId="0" xr:uid="{B6158651-FD42-4F9B-A8F6-67CEE000A767}">
      <text>
        <r>
          <rPr>
            <b/>
            <sz val="9"/>
            <color indexed="81"/>
            <rFont val="Tahoma"/>
            <charset val="1"/>
          </rPr>
          <t>Deborah Helmer:</t>
        </r>
        <r>
          <rPr>
            <sz val="9"/>
            <color indexed="81"/>
            <rFont val="Tahoma"/>
            <charset val="1"/>
          </rPr>
          <t xml:space="preserve">
$598 for equipment, $98 for COVID tests</t>
        </r>
      </text>
    </comment>
    <comment ref="F39" authorId="0" shapeId="0" xr:uid="{C2F04CA3-5C9E-4F73-9CF2-C4085C03F606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Actria license
</t>
        </r>
      </text>
    </comment>
    <comment ref="K40" authorId="0" shapeId="0" xr:uid="{5B940D85-BE7C-4418-860E-20756DD370B0}">
      <text>
        <r>
          <rPr>
            <b/>
            <sz val="9"/>
            <color indexed="81"/>
            <rFont val="Tahoma"/>
            <charset val="1"/>
          </rPr>
          <t>Deborah Helmer:</t>
        </r>
        <r>
          <rPr>
            <sz val="9"/>
            <color indexed="81"/>
            <rFont val="Tahoma"/>
            <charset val="1"/>
          </rPr>
          <t xml:space="preserve">
GA</t>
        </r>
      </text>
    </comment>
    <comment ref="C91" authorId="1" shapeId="0" xr:uid="{FBF72B11-1446-447F-A4D0-3AA86F0306B7}">
      <text>
        <r>
          <rPr>
            <b/>
            <sz val="9"/>
            <color rgb="FF000000"/>
            <rFont val="Arial"/>
            <family val="2"/>
          </rPr>
          <t xml:space="preserve">Deborah Helmer:
</t>
        </r>
        <r>
          <rPr>
            <sz val="9"/>
            <color rgb="FF000000"/>
            <rFont val="Arial"/>
            <family val="2"/>
          </rPr>
          <t>Total includes $5325 raised from auction for playground and deck furniture, and $2000 designated for the deck.</t>
        </r>
      </text>
    </comment>
    <comment ref="H95" authorId="0" shapeId="0" xr:uid="{8D653432-A97C-41C5-BABB-78DCA5778E9A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HVAC repair</t>
        </r>
      </text>
    </comment>
    <comment ref="I96" authorId="0" shapeId="0" xr:uid="{6AB68924-8B4E-4C58-AC86-630C35A8954C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$500 from Paypal</t>
        </r>
      </text>
    </comment>
    <comment ref="D99" authorId="0" shapeId="0" xr:uid="{84C5F609-738D-4FE3-AC4A-49A44E2925BF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Remaining amount in the search committee account</t>
        </r>
      </text>
    </comment>
    <comment ref="H123" authorId="0" shapeId="0" xr:uid="{4E949273-9EC4-4F3E-BF99-7FEDEAFED2B6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From Jacqueline Luck</t>
        </r>
      </text>
    </comment>
    <comment ref="K125" authorId="0" shapeId="0" xr:uid="{6761A2D5-412B-4442-8134-BA7640817791}">
      <text>
        <r>
          <rPr>
            <b/>
            <sz val="9"/>
            <color indexed="81"/>
            <rFont val="Tahoma"/>
            <charset val="1"/>
          </rPr>
          <t>Deborah Helmer:</t>
        </r>
        <r>
          <rPr>
            <sz val="9"/>
            <color indexed="81"/>
            <rFont val="Tahoma"/>
            <charset val="1"/>
          </rPr>
          <t xml:space="preserve">
AED (Defib) batteries from Joseph Viola</t>
        </r>
      </text>
    </comment>
    <comment ref="H135" authorId="0" shapeId="0" xr:uid="{2F4C666C-9704-461D-9EEE-B59BA53B7582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For Sam Jones</t>
        </r>
      </text>
    </comment>
    <comment ref="I142" authorId="0" shapeId="0" xr:uid="{B6546558-911E-4A99-A67D-44F8C94BC771}">
      <text>
        <r>
          <rPr>
            <b/>
            <sz val="9"/>
            <color indexed="81"/>
            <rFont val="Tahoma"/>
            <charset val="1"/>
          </rPr>
          <t>Deborah Helmer:</t>
        </r>
        <r>
          <rPr>
            <sz val="9"/>
            <color indexed="81"/>
            <rFont val="Tahoma"/>
            <charset val="1"/>
          </rPr>
          <t xml:space="preserve">
KOH 5th Sunday appeal</t>
        </r>
      </text>
    </comment>
    <comment ref="L142" authorId="0" shapeId="0" xr:uid="{BF243FED-9F99-452A-A2B3-834ACC3FA7D8}">
      <text>
        <r>
          <rPr>
            <b/>
            <sz val="9"/>
            <color indexed="81"/>
            <rFont val="Tahoma"/>
            <charset val="1"/>
          </rPr>
          <t>Deborah Helmer:</t>
        </r>
        <r>
          <rPr>
            <sz val="9"/>
            <color indexed="81"/>
            <rFont val="Tahoma"/>
            <charset val="1"/>
          </rPr>
          <t xml:space="preserve">
For JC NAACP</t>
        </r>
      </text>
    </comment>
    <comment ref="D153" authorId="0" shapeId="0" xr:uid="{0BA21FA5-ED07-461F-922B-8E73934F97E3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Check sent to WETS pledge drive</t>
        </r>
      </text>
    </comment>
    <comment ref="L163" authorId="0" shapeId="0" xr:uid="{6057592D-554C-4366-8D95-7F7157C0B1EF}">
      <text>
        <r>
          <rPr>
            <b/>
            <sz val="9"/>
            <color indexed="81"/>
            <rFont val="Tahoma"/>
            <charset val="1"/>
          </rPr>
          <t>Deborah Helmer:</t>
        </r>
        <r>
          <rPr>
            <sz val="9"/>
            <color indexed="81"/>
            <rFont val="Tahoma"/>
            <charset val="1"/>
          </rPr>
          <t xml:space="preserve">
Hunger First</t>
        </r>
      </text>
    </comment>
  </commentList>
</comments>
</file>

<file path=xl/sharedStrings.xml><?xml version="1.0" encoding="utf-8"?>
<sst xmlns="http://schemas.openxmlformats.org/spreadsheetml/2006/main" count="210" uniqueCount="114">
  <si>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</si>
  <si>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</si>
  <si>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</si>
  <si>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</si>
  <si>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</si>
  <si>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</si>
  <si>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</si>
  <si>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</si>
  <si>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</si>
  <si>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</si>
  <si>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</si>
  <si>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</si>
  <si>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TOTAL</t>
  </si>
  <si>
    <t>BUDGET</t>
  </si>
  <si>
    <t>%</t>
  </si>
  <si>
    <t>INCOME</t>
  </si>
  <si>
    <t xml:space="preserve">   Pledges</t>
  </si>
  <si>
    <t xml:space="preserve">   Plate</t>
  </si>
  <si>
    <t xml:space="preserve">   Fundraisers</t>
  </si>
  <si>
    <t xml:space="preserve">   Interest &amp; Misc</t>
  </si>
  <si>
    <t xml:space="preserve">   Endowment/Gifts</t>
  </si>
  <si>
    <t xml:space="preserve">  TOTAL INCOME</t>
  </si>
  <si>
    <t>EXPENSES</t>
  </si>
  <si>
    <t xml:space="preserve">  Administration</t>
  </si>
  <si>
    <t xml:space="preserve">    Facilities, Bld</t>
  </si>
  <si>
    <t xml:space="preserve">    Facilities, Ground</t>
  </si>
  <si>
    <t xml:space="preserve">    HG Insurance</t>
  </si>
  <si>
    <t xml:space="preserve">    Janitorial</t>
  </si>
  <si>
    <t xml:space="preserve">    Electricity</t>
  </si>
  <si>
    <t xml:space="preserve">    Security System</t>
  </si>
  <si>
    <t xml:space="preserve">    Office</t>
  </si>
  <si>
    <t xml:space="preserve">  Program</t>
  </si>
  <si>
    <t xml:space="preserve">    Religious Ed</t>
  </si>
  <si>
    <t xml:space="preserve">    Religious Services</t>
  </si>
  <si>
    <t xml:space="preserve">    Music</t>
  </si>
  <si>
    <t xml:space="preserve">    Small Grp Min</t>
  </si>
  <si>
    <t xml:space="preserve">  Membership</t>
  </si>
  <si>
    <t xml:space="preserve">    Member Dev.</t>
  </si>
  <si>
    <t xml:space="preserve">    Caring Team</t>
  </si>
  <si>
    <t xml:space="preserve">    Fellowship</t>
  </si>
  <si>
    <t xml:space="preserve">  Other</t>
  </si>
  <si>
    <t xml:space="preserve">    Stewardship</t>
  </si>
  <si>
    <t xml:space="preserve">    Leadership Dev</t>
  </si>
  <si>
    <t xml:space="preserve">    Social Justice</t>
  </si>
  <si>
    <t xml:space="preserve">    GIFT (UUA/SED)</t>
  </si>
  <si>
    <t xml:space="preserve"> Personnel</t>
  </si>
  <si>
    <t xml:space="preserve">   DRE Salary</t>
  </si>
  <si>
    <t xml:space="preserve">   DRE Prof Devel</t>
  </si>
  <si>
    <t xml:space="preserve">   Music Leadership</t>
  </si>
  <si>
    <t xml:space="preserve">   Pianist</t>
  </si>
  <si>
    <t xml:space="preserve">   Childcare</t>
  </si>
  <si>
    <t xml:space="preserve">   Office Manager</t>
  </si>
  <si>
    <t xml:space="preserve">  Pastoral</t>
  </si>
  <si>
    <t xml:space="preserve">    Salary, Housing and FICA</t>
  </si>
  <si>
    <t xml:space="preserve">    Insurance</t>
  </si>
  <si>
    <t xml:space="preserve">    Retirement</t>
  </si>
  <si>
    <t xml:space="preserve">    Prof Exp</t>
  </si>
  <si>
    <t xml:space="preserve"> TOTAL EXPENSES</t>
  </si>
  <si>
    <t>INCOME-EXPENSE</t>
  </si>
  <si>
    <t>LIQUID ASSETS AND LIABILITIES*</t>
  </si>
  <si>
    <t>ASSETS</t>
  </si>
  <si>
    <t xml:space="preserve">  FIDELITY</t>
  </si>
  <si>
    <t xml:space="preserve">  TOTAL</t>
  </si>
  <si>
    <t>LIABILITIES*</t>
  </si>
  <si>
    <t>LIABILITIES MINUS</t>
  </si>
  <si>
    <t>ASSETS*</t>
  </si>
  <si>
    <t>Operating Status*</t>
  </si>
  <si>
    <t xml:space="preserve">  Cash available*</t>
  </si>
  <si>
    <t xml:space="preserve">  Designated* (Board)</t>
  </si>
  <si>
    <t xml:space="preserve">  Flow Through*</t>
  </si>
  <si>
    <t xml:space="preserve">  Designated* (Other)</t>
  </si>
  <si>
    <t xml:space="preserve">  Working Capital*</t>
  </si>
  <si>
    <t xml:space="preserve">  Reserves*</t>
  </si>
  <si>
    <t>NOTE  Working Capital = one month of yearly budget</t>
  </si>
  <si>
    <t>NOTE  Reserves = Cash - Designated funds - Flow Through - Working Capital</t>
  </si>
  <si>
    <t>DESIGNATED FUNDS (BOARD RESPONSIBLE)</t>
  </si>
  <si>
    <t>Capital Projects</t>
  </si>
  <si>
    <t xml:space="preserve">  expenditures</t>
  </si>
  <si>
    <t xml:space="preserve">  income</t>
  </si>
  <si>
    <t>CAPITAL REPAIR</t>
  </si>
  <si>
    <t>SRCH/SABBITCAL</t>
  </si>
  <si>
    <t>Board Discretionary</t>
  </si>
  <si>
    <t>DESIGNATED FUNDS (COMMITTEE/ACTIVITY)</t>
  </si>
  <si>
    <t>WOMEN'S RETRT</t>
  </si>
  <si>
    <t>SENIOR YOUTH</t>
  </si>
  <si>
    <t>expenditures</t>
  </si>
  <si>
    <t>income</t>
  </si>
  <si>
    <t>Summer Camp</t>
  </si>
  <si>
    <t>MUSIC</t>
  </si>
  <si>
    <t>MISC</t>
  </si>
  <si>
    <t xml:space="preserve"> </t>
  </si>
  <si>
    <t>Green Sanctuary</t>
  </si>
  <si>
    <t>Endowment Fund</t>
  </si>
  <si>
    <t>Memorial Wall</t>
  </si>
  <si>
    <t>TOTAL*</t>
  </si>
  <si>
    <t>FLOW THROUGH FUNDS</t>
  </si>
  <si>
    <t>5th Sunday</t>
  </si>
  <si>
    <t>Kitchen of Hope</t>
  </si>
  <si>
    <t>Minister Discretionary</t>
  </si>
  <si>
    <t>FPN (IHN)</t>
  </si>
  <si>
    <t>WETS</t>
  </si>
  <si>
    <t>Senior Youth Social Justice</t>
  </si>
  <si>
    <t>Children's Collection</t>
  </si>
  <si>
    <t>RE</t>
  </si>
  <si>
    <t>Memorial Reception</t>
  </si>
  <si>
    <t>Employee Insurance</t>
  </si>
  <si>
    <t>Insurance</t>
  </si>
  <si>
    <t>2022/2023 pledges</t>
  </si>
  <si>
    <t>OPERATING BUDGET (FY 2021-2022)</t>
  </si>
  <si>
    <t>Bldg. use Donations</t>
  </si>
  <si>
    <t xml:space="preserve">  Ist Horizon Checking</t>
  </si>
  <si>
    <t xml:space="preserve">  Ist Horizon Saving</t>
  </si>
  <si>
    <t>Telephone/internet/licenses</t>
  </si>
  <si>
    <t>Miscellaneous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</si>
</sst>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General"/>
    <numFmt numFmtId="165" formatCode="[$$-409]#,##0.00;[Red]&quot;-&quot;[$$-409]#,##0.00"/>
  </numFmts>
  <fonts count="19">
    <font>
      <sz val="11"/>
      <color theme="1"/>
      <name val="Arial"/>
      <family val="2"/>
    </font>
    <font>
      <b/>
      <i/>
      <sz val="16"/>
      <color rgb="FF000000"/>
      <name val="Arial"/>
      <family val="2"/>
    </font>
    <font>
      <b/>
      <i/>
      <sz val="16"/>
      <color rgb="FF000000"/>
      <name val="Arial1"/>
    </font>
    <font>
      <sz val="10"/>
      <color rgb="FF000000"/>
      <name val="Arial1"/>
    </font>
    <font>
      <sz val="11"/>
      <color rgb="FF000000"/>
      <name val="Arial1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i/>
      <u/>
      <sz val="11"/>
      <color rgb="FF000000"/>
      <name val="Arial1"/>
    </font>
    <font>
      <b/>
      <i/>
      <u/>
      <sz val="11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b/>
      <sz val="11"/>
      <color rgb="FF000000"/>
      <name val="Arial1"/>
    </font>
    <font>
      <b/>
      <i/>
      <sz val="11"/>
      <color rgb="FF000000"/>
      <name val="Arial1"/>
    </font>
    <font>
      <i/>
      <sz val="11"/>
      <color rgb="FF000000"/>
      <name val="Arial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/>
    <xf numFmtId="164" fontId="1" fillId="0" borderId="0">
      <alignment horizontal="center"/>
    </xf>
    <xf numFmtId="0" fontId="1" fillId="0" borderId="0">
      <alignment horizontal="center"/>
    </xf>
    <xf numFmtId="164" fontId="2" fillId="0" borderId="0">
      <alignment horizontal="center"/>
    </xf>
    <xf numFmtId="0" fontId="3" fillId="0" borderId="0">
      <alignment horizontal="left"/>
    </xf>
    <xf numFmtId="164" fontId="4" fillId="0" borderId="0"/>
    <xf numFmtId="9" fontId="3" fillId="0" borderId="0">
      <alignment horizontal="left"/>
    </xf>
    <xf numFmtId="0" fontId="5" fillId="0" borderId="0">
      <alignment horizontal="center"/>
    </xf>
    <xf numFmtId="0" fontId="5" fillId="0" borderId="0">
      <alignment horizontal="center" textRotation="90"/>
    </xf>
    <xf numFmtId="164" fontId="2" fillId="0" borderId="0">
      <alignment horizontal="center" textRotation="90"/>
    </xf>
    <xf numFmtId="0" fontId="1" fillId="0" borderId="0">
      <alignment horizontal="center" textRotation="90"/>
    </xf>
    <xf numFmtId="164" fontId="1" fillId="0" borderId="0">
      <alignment horizontal="center" textRotation="90"/>
    </xf>
    <xf numFmtId="0" fontId="6" fillId="0" borderId="0"/>
    <xf numFmtId="164" fontId="7" fillId="0" borderId="0"/>
    <xf numFmtId="0" fontId="8" fillId="0" borderId="0"/>
    <xf numFmtId="164" fontId="8" fillId="0" borderId="0"/>
    <xf numFmtId="165" fontId="6" fillId="0" borderId="0"/>
    <xf numFmtId="165" fontId="7" fillId="0" borderId="0"/>
    <xf numFmtId="165" fontId="8" fillId="0" borderId="0"/>
    <xf numFmtId="165" fontId="8" fillId="0" borderId="0"/>
  </cellStyleXfs>
  <cellXfs count="19">
    <xf numFmtId="0" fontId="0" fillId="0" borderId="0" xfId="0"/>
    <xf numFmtId="3" fontId="3" fillId="0" borderId="0" xfId="4" applyNumberFormat="1" applyFont="1" applyFill="1" applyAlignment="1">
      <alignment horizontal="left"/>
    </xf>
    <xf numFmtId="3" fontId="14" fillId="0" borderId="0" xfId="4" applyNumberFormat="1" applyFont="1" applyFill="1" applyAlignment="1">
      <alignment horizontal="right"/>
    </xf>
    <xf numFmtId="3" fontId="14" fillId="0" borderId="0" xfId="4" applyNumberFormat="1" applyFont="1" applyFill="1" applyAlignment="1">
      <alignment horizontal="left"/>
    </xf>
    <xf numFmtId="3" fontId="4" fillId="0" borderId="0" xfId="4" applyNumberFormat="1" applyFont="1" applyFill="1" applyAlignment="1">
      <alignment horizontal="left"/>
    </xf>
    <xf numFmtId="3" fontId="4" fillId="0" borderId="0" xfId="4" applyNumberFormat="1" applyFont="1" applyFill="1" applyAlignment="1">
      <alignment horizontal="right"/>
    </xf>
    <xf numFmtId="3" fontId="15" fillId="0" borderId="0" xfId="4" applyNumberFormat="1" applyFont="1" applyFill="1" applyAlignment="1">
      <alignment horizontal="left"/>
    </xf>
    <xf numFmtId="3" fontId="16" fillId="0" borderId="0" xfId="4" applyNumberFormat="1" applyFont="1" applyFill="1" applyAlignment="1">
      <alignment horizontal="left"/>
    </xf>
    <xf numFmtId="3" fontId="7" fillId="0" borderId="0" xfId="4" applyNumberFormat="1" applyFont="1" applyFill="1" applyAlignment="1">
      <alignment horizontal="left"/>
    </xf>
    <xf numFmtId="3" fontId="4" fillId="0" borderId="0" xfId="4" applyNumberFormat="1" applyFont="1" applyFill="1" applyAlignment="1">
      <alignment horizontal="left" indent="1"/>
    </xf>
    <xf numFmtId="3" fontId="4" fillId="2" borderId="0" xfId="4" applyNumberFormat="1" applyFont="1" applyFill="1" applyAlignment="1">
      <alignment horizontal="right"/>
    </xf>
    <xf numFmtId="3" fontId="13" fillId="0" borderId="0" xfId="0" applyNumberFormat="1" applyFont="1"/>
    <xf numFmtId="3" fontId="4" fillId="0" borderId="0" xfId="4" applyNumberFormat="1" applyFont="1" applyFill="1" applyBorder="1" applyAlignment="1">
      <alignment horizontal="left"/>
    </xf>
    <xf numFmtId="9" fontId="14" fillId="0" borderId="0" xfId="4" applyNumberFormat="1" applyFont="1" applyFill="1" applyAlignment="1">
      <alignment horizontal="right"/>
    </xf>
    <xf numFmtId="9" fontId="4" fillId="0" borderId="0" xfId="4" applyNumberFormat="1" applyFont="1" applyFill="1" applyAlignment="1">
      <alignment horizontal="right"/>
    </xf>
    <xf numFmtId="9" fontId="14" fillId="0" borderId="0" xfId="4" applyNumberFormat="1" applyFont="1" applyFill="1" applyAlignment="1">
      <alignment horizontal="left"/>
    </xf>
    <xf numFmtId="9" fontId="4" fillId="0" borderId="0" xfId="4" applyNumberFormat="1" applyFont="1" applyFill="1" applyAlignment="1">
      <alignment horizontal="left"/>
    </xf>
    <xf numFmtId="3" fontId="13" fillId="2" borderId="0" xfId="0" applyNumberFormat="1" applyFont="1" applyFill="1" applyAlignment="1">
      <alignment horizontal="right"/>
    </xf>
    <xf numFmtId="3" fontId="4" fillId="0" borderId="0" xfId="4" applyNumberFormat="1" applyFont="1" applyFill="1" applyBorder="1" applyAlignment="1">
      <alignment horizontal="left"/>
    </xf>
  </cellXfs>
  <cellStyles count="20">
    <cellStyle name="Excel Built-in Heading 1" xfId="2" xr:uid="{00000000-0005-0000-0000-000000000000}"/>
    <cellStyle name="Excel Built-in Heading 1 1" xfId="3" xr:uid="{00000000-0005-0000-0000-000001000000}"/>
    <cellStyle name="Excel Built-in Normal 1" xfId="4" xr:uid="{00000000-0005-0000-0000-000002000000}"/>
    <cellStyle name="Excel Built-in Normal 2" xfId="5" xr:uid="{00000000-0005-0000-0000-000003000000}"/>
    <cellStyle name="Excel Built-in Percent" xfId="6" xr:uid="{00000000-0005-0000-0000-000004000000}"/>
    <cellStyle name="Heading" xfId="7" xr:uid="{00000000-0005-0000-0000-000005000000}"/>
    <cellStyle name="Heading 1" xfId="1" builtinId="16" customBuiltin="1"/>
    <cellStyle name="Heading1" xfId="8" xr:uid="{00000000-0005-0000-0000-000007000000}"/>
    <cellStyle name="Heading1 1" xfId="9" xr:uid="{00000000-0005-0000-0000-000008000000}"/>
    <cellStyle name="Heading1 2" xfId="10" xr:uid="{00000000-0005-0000-0000-000009000000}"/>
    <cellStyle name="Heading1 3" xfId="11" xr:uid="{00000000-0005-0000-0000-00000A000000}"/>
    <cellStyle name="Normal" xfId="0" builtinId="0" customBuiltin="1"/>
    <cellStyle name="Result" xfId="12" xr:uid="{00000000-0005-0000-0000-00000C000000}"/>
    <cellStyle name="Result 1" xfId="13" xr:uid="{00000000-0005-0000-0000-00000D000000}"/>
    <cellStyle name="Result 2" xfId="14" xr:uid="{00000000-0005-0000-0000-00000E000000}"/>
    <cellStyle name="Result 3" xfId="15" xr:uid="{00000000-0005-0000-0000-00000F000000}"/>
    <cellStyle name="Result2" xfId="16" xr:uid="{00000000-0005-0000-0000-000010000000}"/>
    <cellStyle name="Result2 1" xfId="17" xr:uid="{00000000-0005-0000-0000-000011000000}"/>
    <cellStyle name="Result2 2" xfId="18" xr:uid="{00000000-0005-0000-0000-000012000000}"/>
    <cellStyle name="Result2 3" xfId="1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5FA6A-412D-4541-90E7-80E446BEF5C9}">
  <sheetPr>
    <pageSetUpPr fitToPage="1"/>
  </sheetPr>
  <dimension ref="A1:AMJ169"/>
  <sheetViews>
    <sheetView tabSelected="1" zoomScale="110" zoomScaleNormal="110" workbookViewId="0">
      <selection activeCell="I144" sqref="I144"/>
    </sheetView>
  </sheetViews>
  <sheetFormatPr defaultRowHeight="13.8"/>
  <cols>
    <col min="1" max="1" width="8.796875" style="4" customWidth="1"/>
    <col min="2" max="2" width="12.19921875" style="4" customWidth="1"/>
    <col min="3" max="14" width="9.296875" style="5" customWidth="1"/>
    <col min="15" max="15" width="9.8984375" style="5" customWidth="1"/>
    <col min="16" max="16" width="10.59765625" style="5" customWidth="1"/>
    <col min="17" max="17" width="7.796875" style="14" customWidth="1"/>
    <col min="18" max="1023" width="8.796875" style="4" customWidth="1"/>
    <col min="1024" max="1024" width="9.5" style="4" customWidth="1"/>
    <col min="1025" max="16384" width="8.796875" style="11"/>
  </cols>
  <sheetData>
    <row r="1" spans="1:17">
      <c r="A1" s="3" t="s">
        <v>108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3"/>
    </row>
    <row r="2" spans="1:1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13" t="s">
        <v>14</v>
      </c>
    </row>
    <row r="3" spans="1:17">
      <c r="A3" s="3" t="s">
        <v>15</v>
      </c>
    </row>
    <row r="4" spans="1:17">
      <c r="A4" s="3"/>
    </row>
    <row r="5" spans="1:17">
      <c r="A5" s="4" t="s">
        <v>16</v>
      </c>
      <c r="C5" s="5">
        <f>24378.72</f>
        <v>24378.720000000001</v>
      </c>
      <c r="D5" s="5">
        <f>7092.3+71.61</f>
        <v>7163.91</v>
      </c>
      <c r="E5" s="5">
        <f>32.49+727+3529.3</f>
        <v>4288.79</v>
      </c>
      <c r="F5" s="5">
        <v>2086</v>
      </c>
      <c r="G5" s="5">
        <v>11906.85</v>
      </c>
      <c r="H5" s="5">
        <v>11096.3</v>
      </c>
      <c r="I5" s="5">
        <v>21001.3</v>
      </c>
      <c r="J5" s="5">
        <v>10400.57</v>
      </c>
      <c r="K5" s="5">
        <v>10137.299999999999</v>
      </c>
      <c r="O5" s="5">
        <f>SUM(C5:N5)</f>
        <v>102459.74</v>
      </c>
      <c r="P5" s="5">
        <v>148061</v>
      </c>
      <c r="Q5" s="14">
        <f>O5/P5</f>
        <v>0.69201032007078167</v>
      </c>
    </row>
    <row r="6" spans="1:17">
      <c r="A6" s="4" t="s">
        <v>17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O6" s="5">
        <f t="shared" ref="O6:O10" si="0">SUM(C6:N6)</f>
        <v>0</v>
      </c>
      <c r="P6" s="5">
        <v>3000</v>
      </c>
      <c r="Q6" s="14">
        <f t="shared" ref="Q6:Q11" si="1">O6/P6</f>
        <v>0</v>
      </c>
    </row>
    <row r="7" spans="1:17">
      <c r="A7" s="4" t="s">
        <v>18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f>7872+33.4</f>
        <v>7905.4</v>
      </c>
      <c r="I7" s="5">
        <v>3097.02</v>
      </c>
      <c r="J7" s="5">
        <v>0</v>
      </c>
      <c r="K7" s="5">
        <v>225</v>
      </c>
      <c r="O7" s="5">
        <f t="shared" si="0"/>
        <v>11227.42</v>
      </c>
      <c r="P7" s="5">
        <v>10000</v>
      </c>
      <c r="Q7" s="14">
        <f t="shared" si="1"/>
        <v>1.1227419999999999</v>
      </c>
    </row>
    <row r="8" spans="1:17">
      <c r="A8" s="4" t="s">
        <v>109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O8" s="5">
        <f t="shared" si="0"/>
        <v>0</v>
      </c>
      <c r="P8" s="5">
        <v>0</v>
      </c>
      <c r="Q8" s="14" t="e">
        <f t="shared" si="1"/>
        <v>#DIV/0!</v>
      </c>
    </row>
    <row r="9" spans="1:17">
      <c r="A9" s="4" t="s">
        <v>19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164</v>
      </c>
      <c r="I9" s="5">
        <v>0</v>
      </c>
      <c r="J9" s="5">
        <v>250</v>
      </c>
      <c r="K9" s="5">
        <v>0</v>
      </c>
      <c r="O9" s="5">
        <f t="shared" si="0"/>
        <v>414</v>
      </c>
      <c r="P9" s="5">
        <v>0</v>
      </c>
      <c r="Q9" s="14" t="e">
        <f t="shared" si="1"/>
        <v>#DIV/0!</v>
      </c>
    </row>
    <row r="10" spans="1:17">
      <c r="A10" s="4" t="s">
        <v>20</v>
      </c>
      <c r="C10" s="5">
        <v>1437</v>
      </c>
      <c r="D10" s="5">
        <f>2991+10+25</f>
        <v>3026</v>
      </c>
      <c r="E10" s="5">
        <v>210</v>
      </c>
      <c r="F10" s="5">
        <v>130</v>
      </c>
      <c r="G10" s="5">
        <v>0</v>
      </c>
      <c r="H10" s="5">
        <f>135+45</f>
        <v>180</v>
      </c>
      <c r="I10" s="5">
        <v>170</v>
      </c>
      <c r="J10" s="5">
        <f>571+66.02+400</f>
        <v>1037.02</v>
      </c>
      <c r="K10" s="5">
        <v>0</v>
      </c>
      <c r="O10" s="5">
        <f t="shared" si="0"/>
        <v>6190.02</v>
      </c>
      <c r="P10" s="5">
        <v>4000</v>
      </c>
      <c r="Q10" s="14">
        <f t="shared" si="1"/>
        <v>1.5475050000000001</v>
      </c>
    </row>
    <row r="11" spans="1:17" s="4" customFormat="1">
      <c r="A11" s="6" t="s">
        <v>21</v>
      </c>
      <c r="C11" s="5">
        <f t="shared" ref="C11:O11" si="2">SUM(C5:C10)</f>
        <v>25815.72</v>
      </c>
      <c r="D11" s="5">
        <f t="shared" si="2"/>
        <v>10189.91</v>
      </c>
      <c r="E11" s="5">
        <f t="shared" si="2"/>
        <v>4498.79</v>
      </c>
      <c r="F11" s="5">
        <f t="shared" si="2"/>
        <v>2216</v>
      </c>
      <c r="G11" s="5">
        <f t="shared" si="2"/>
        <v>11906.85</v>
      </c>
      <c r="H11" s="5">
        <f t="shared" si="2"/>
        <v>19345.699999999997</v>
      </c>
      <c r="I11" s="5">
        <f>SUM(I5:I10)</f>
        <v>24268.32</v>
      </c>
      <c r="J11" s="5">
        <f t="shared" si="2"/>
        <v>11687.59</v>
      </c>
      <c r="K11" s="5">
        <f t="shared" si="2"/>
        <v>10362.299999999999</v>
      </c>
      <c r="L11" s="5">
        <f t="shared" si="2"/>
        <v>0</v>
      </c>
      <c r="M11" s="5">
        <f t="shared" si="2"/>
        <v>0</v>
      </c>
      <c r="N11" s="5">
        <f t="shared" si="2"/>
        <v>0</v>
      </c>
      <c r="O11" s="2">
        <f t="shared" si="2"/>
        <v>120291.18000000001</v>
      </c>
      <c r="P11" s="2">
        <f>SUM(P5:P10)</f>
        <v>165061</v>
      </c>
      <c r="Q11" s="13">
        <f t="shared" si="1"/>
        <v>0.72876803121270328</v>
      </c>
    </row>
    <row r="12" spans="1:17" s="4" customFormat="1">
      <c r="A12" s="4" t="s">
        <v>107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"/>
      <c r="P12" s="2"/>
      <c r="Q12" s="13"/>
    </row>
    <row r="13" spans="1:17" s="4" customFormat="1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14"/>
    </row>
    <row r="14" spans="1:17" s="4" customFormat="1">
      <c r="A14" s="3" t="s">
        <v>22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"/>
      <c r="P14" s="5"/>
      <c r="Q14" s="14"/>
    </row>
    <row r="15" spans="1:17" s="4" customFormat="1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2"/>
      <c r="P15" s="5"/>
      <c r="Q15" s="14"/>
    </row>
    <row r="16" spans="1:17" s="4" customFormat="1">
      <c r="A16" s="3" t="s">
        <v>23</v>
      </c>
      <c r="B16" s="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"/>
      <c r="P16" s="5"/>
      <c r="Q16" s="14"/>
    </row>
    <row r="17" spans="1:17" s="4" customFormat="1">
      <c r="A17" s="4" t="s">
        <v>24</v>
      </c>
      <c r="C17" s="5">
        <v>18.5</v>
      </c>
      <c r="D17" s="5">
        <v>196.03</v>
      </c>
      <c r="E17" s="5">
        <v>903.47</v>
      </c>
      <c r="F17" s="5">
        <v>38.42</v>
      </c>
      <c r="G17" s="5">
        <v>18.5</v>
      </c>
      <c r="H17" s="5">
        <v>268.16000000000003</v>
      </c>
      <c r="I17" s="5">
        <v>18.5</v>
      </c>
      <c r="J17" s="5">
        <v>433.31</v>
      </c>
      <c r="K17" s="5">
        <v>556.22</v>
      </c>
      <c r="L17" s="5"/>
      <c r="M17" s="5"/>
      <c r="N17" s="5"/>
      <c r="O17" s="5">
        <f t="shared" ref="O17:O24" si="3">SUM(C17:N17)</f>
        <v>2451.11</v>
      </c>
      <c r="P17" s="5">
        <v>3000</v>
      </c>
      <c r="Q17" s="14">
        <f t="shared" ref="Q17:Q24" si="4">O17/P17</f>
        <v>0.81703666666666674</v>
      </c>
    </row>
    <row r="18" spans="1:17" s="4" customFormat="1">
      <c r="A18" s="4" t="s">
        <v>25</v>
      </c>
      <c r="C18" s="5">
        <v>500</v>
      </c>
      <c r="D18" s="5">
        <v>400</v>
      </c>
      <c r="E18" s="5">
        <v>400</v>
      </c>
      <c r="F18" s="5">
        <v>400</v>
      </c>
      <c r="G18" s="5">
        <v>0</v>
      </c>
      <c r="H18" s="5">
        <v>400</v>
      </c>
      <c r="I18" s="5">
        <v>0</v>
      </c>
      <c r="J18" s="5">
        <v>0</v>
      </c>
      <c r="K18" s="5">
        <v>0</v>
      </c>
      <c r="L18" s="5"/>
      <c r="M18" s="5"/>
      <c r="N18" s="5"/>
      <c r="O18" s="5">
        <f t="shared" si="3"/>
        <v>2100</v>
      </c>
      <c r="P18" s="5">
        <v>3000</v>
      </c>
      <c r="Q18" s="14">
        <f t="shared" si="4"/>
        <v>0.7</v>
      </c>
    </row>
    <row r="19" spans="1:17" s="4" customFormat="1">
      <c r="A19" s="4" t="s">
        <v>26</v>
      </c>
      <c r="C19" s="5">
        <v>0</v>
      </c>
      <c r="D19" s="5">
        <v>0</v>
      </c>
      <c r="E19" s="5">
        <v>0</v>
      </c>
      <c r="F19" s="5">
        <v>0</v>
      </c>
      <c r="G19" s="5">
        <v>5887</v>
      </c>
      <c r="H19" s="5">
        <v>0</v>
      </c>
      <c r="I19" s="5">
        <v>0</v>
      </c>
      <c r="J19" s="5">
        <v>0</v>
      </c>
      <c r="K19" s="5">
        <v>0</v>
      </c>
      <c r="L19" s="5"/>
      <c r="M19" s="5"/>
      <c r="N19" s="5"/>
      <c r="O19" s="5">
        <f t="shared" si="3"/>
        <v>5887</v>
      </c>
      <c r="P19" s="5">
        <v>5311</v>
      </c>
      <c r="Q19" s="14">
        <f t="shared" si="4"/>
        <v>1.1084541517604971</v>
      </c>
    </row>
    <row r="20" spans="1:17" s="4" customFormat="1">
      <c r="A20" s="4" t="s">
        <v>27</v>
      </c>
      <c r="C20" s="5">
        <v>300</v>
      </c>
      <c r="D20" s="5">
        <v>0</v>
      </c>
      <c r="E20" s="5">
        <v>0</v>
      </c>
      <c r="F20" s="5">
        <v>0</v>
      </c>
      <c r="G20" s="5">
        <v>0</v>
      </c>
      <c r="H20" s="5">
        <v>435.93</v>
      </c>
      <c r="I20" s="5">
        <v>1453.1</v>
      </c>
      <c r="J20" s="5">
        <v>0</v>
      </c>
      <c r="K20" s="5">
        <v>726.55</v>
      </c>
      <c r="L20" s="5"/>
      <c r="M20" s="5"/>
      <c r="N20" s="5"/>
      <c r="O20" s="5">
        <f t="shared" si="3"/>
        <v>2915.58</v>
      </c>
      <c r="P20" s="5">
        <v>8500</v>
      </c>
      <c r="Q20" s="14">
        <f t="shared" si="4"/>
        <v>0.3430094117647059</v>
      </c>
    </row>
    <row r="21" spans="1:17" s="4" customFormat="1">
      <c r="A21" s="1" t="s">
        <v>112</v>
      </c>
      <c r="C21" s="5">
        <v>218.49</v>
      </c>
      <c r="D21" s="5">
        <v>218.34</v>
      </c>
      <c r="E21" s="5">
        <v>218.34</v>
      </c>
      <c r="F21" s="5">
        <v>217.98</v>
      </c>
      <c r="G21" s="5">
        <v>230.79</v>
      </c>
      <c r="H21" s="5">
        <v>203.4</v>
      </c>
      <c r="I21" s="5">
        <v>217.35</v>
      </c>
      <c r="J21" s="5">
        <v>216.72</v>
      </c>
      <c r="K21" s="5">
        <v>453.24</v>
      </c>
      <c r="L21" s="5"/>
      <c r="M21" s="5"/>
      <c r="N21" s="5"/>
      <c r="O21" s="5">
        <f t="shared" si="3"/>
        <v>2194.65</v>
      </c>
      <c r="P21" s="5">
        <v>3470</v>
      </c>
      <c r="Q21" s="14">
        <f t="shared" si="4"/>
        <v>0.63246397694524503</v>
      </c>
    </row>
    <row r="22" spans="1:17" s="4" customFormat="1">
      <c r="A22" s="4" t="s">
        <v>28</v>
      </c>
      <c r="C22" s="5">
        <v>166.18</v>
      </c>
      <c r="D22" s="5">
        <v>197.8</v>
      </c>
      <c r="E22" s="5">
        <v>233.89</v>
      </c>
      <c r="F22" s="5">
        <v>261.52999999999997</v>
      </c>
      <c r="G22" s="5">
        <v>271.17</v>
      </c>
      <c r="H22" s="5">
        <v>215.64</v>
      </c>
      <c r="I22" s="5">
        <v>206.74</v>
      </c>
      <c r="J22" s="5">
        <v>324.82</v>
      </c>
      <c r="K22" s="5">
        <v>399.19</v>
      </c>
      <c r="L22" s="5"/>
      <c r="M22" s="5"/>
      <c r="N22" s="5"/>
      <c r="O22" s="5">
        <f t="shared" si="3"/>
        <v>2276.96</v>
      </c>
      <c r="P22" s="5">
        <v>4500</v>
      </c>
      <c r="Q22" s="14">
        <f t="shared" si="4"/>
        <v>0.50599111111111117</v>
      </c>
    </row>
    <row r="23" spans="1:17" s="4" customFormat="1">
      <c r="A23" s="4" t="s">
        <v>29</v>
      </c>
      <c r="C23" s="5">
        <v>81.75</v>
      </c>
      <c r="D23" s="5">
        <v>81.75</v>
      </c>
      <c r="E23" s="5">
        <v>81.75</v>
      </c>
      <c r="F23" s="5">
        <v>81.75</v>
      </c>
      <c r="G23" s="5">
        <v>81.75</v>
      </c>
      <c r="H23" s="5">
        <v>388.11</v>
      </c>
      <c r="I23" s="5">
        <v>81.75</v>
      </c>
      <c r="J23" s="5">
        <v>81.75</v>
      </c>
      <c r="K23" s="5">
        <v>81.7</v>
      </c>
      <c r="L23" s="5"/>
      <c r="M23" s="5"/>
      <c r="N23" s="5"/>
      <c r="O23" s="5">
        <f t="shared" si="3"/>
        <v>1042.06</v>
      </c>
      <c r="P23" s="5">
        <v>1300</v>
      </c>
      <c r="Q23" s="14">
        <f t="shared" si="4"/>
        <v>0.80158461538461534</v>
      </c>
    </row>
    <row r="24" spans="1:17" s="4" customFormat="1">
      <c r="A24" s="4" t="s">
        <v>30</v>
      </c>
      <c r="C24" s="5">
        <v>108</v>
      </c>
      <c r="D24" s="5">
        <v>0</v>
      </c>
      <c r="E24" s="5">
        <v>68.06</v>
      </c>
      <c r="F24" s="5">
        <v>16.43</v>
      </c>
      <c r="G24" s="5">
        <v>0</v>
      </c>
      <c r="H24" s="5">
        <v>58</v>
      </c>
      <c r="I24" s="5">
        <v>54.21</v>
      </c>
      <c r="J24" s="5">
        <v>0</v>
      </c>
      <c r="K24" s="5">
        <v>334.75</v>
      </c>
      <c r="L24" s="5"/>
      <c r="M24" s="5"/>
      <c r="N24" s="5"/>
      <c r="O24" s="5">
        <f t="shared" si="3"/>
        <v>639.45000000000005</v>
      </c>
      <c r="P24" s="5">
        <v>1900</v>
      </c>
      <c r="Q24" s="14">
        <f t="shared" si="4"/>
        <v>0.33655263157894738</v>
      </c>
    </row>
    <row r="25" spans="1:17" s="4" customFormat="1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4"/>
    </row>
    <row r="26" spans="1:17" s="4" customFormat="1">
      <c r="A26" s="3" t="s">
        <v>31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"/>
      <c r="P26" s="5"/>
      <c r="Q26" s="14"/>
    </row>
    <row r="27" spans="1:17" s="4" customFormat="1">
      <c r="A27" s="4" t="s">
        <v>32</v>
      </c>
      <c r="C27" s="5">
        <v>0</v>
      </c>
      <c r="D27" s="5">
        <v>0</v>
      </c>
      <c r="E27" s="5">
        <v>0</v>
      </c>
      <c r="F27" s="5">
        <v>0</v>
      </c>
      <c r="G27" s="5">
        <v>37.93</v>
      </c>
      <c r="H27" s="5">
        <v>223.33</v>
      </c>
      <c r="I27" s="5">
        <v>0</v>
      </c>
      <c r="J27" s="5">
        <v>0</v>
      </c>
      <c r="K27" s="5">
        <v>25.86</v>
      </c>
      <c r="L27" s="5"/>
      <c r="M27" s="5"/>
      <c r="N27" s="5"/>
      <c r="O27" s="5">
        <f>SUM(C27:N27)</f>
        <v>287.12</v>
      </c>
      <c r="P27" s="5">
        <v>2440</v>
      </c>
      <c r="Q27" s="14">
        <f>O27/P27</f>
        <v>0.11767213114754098</v>
      </c>
    </row>
    <row r="28" spans="1:17" s="4" customFormat="1">
      <c r="A28" s="4" t="s">
        <v>33</v>
      </c>
      <c r="C28" s="5">
        <v>750</v>
      </c>
      <c r="D28" s="5">
        <v>0</v>
      </c>
      <c r="E28" s="5">
        <v>100</v>
      </c>
      <c r="F28" s="5">
        <v>23.55</v>
      </c>
      <c r="G28" s="5">
        <v>0</v>
      </c>
      <c r="H28" s="5">
        <v>250</v>
      </c>
      <c r="I28" s="5">
        <v>250</v>
      </c>
      <c r="J28" s="5">
        <v>250</v>
      </c>
      <c r="K28" s="5">
        <v>946.34</v>
      </c>
      <c r="L28" s="5"/>
      <c r="M28" s="5"/>
      <c r="N28" s="5"/>
      <c r="O28" s="5">
        <f>SUM(C28:N28)</f>
        <v>2569.89</v>
      </c>
      <c r="P28" s="5">
        <v>3000</v>
      </c>
      <c r="Q28" s="14">
        <f>O28/P28</f>
        <v>0.85663</v>
      </c>
    </row>
    <row r="29" spans="1:17" s="4" customFormat="1">
      <c r="A29" s="4" t="s">
        <v>34</v>
      </c>
      <c r="C29" s="5">
        <v>1185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/>
      <c r="M29" s="5"/>
      <c r="N29" s="5"/>
      <c r="O29" s="5">
        <f>SUM(C29:N29)</f>
        <v>1185</v>
      </c>
      <c r="P29" s="5">
        <v>1185</v>
      </c>
      <c r="Q29" s="14">
        <f>O29/P29</f>
        <v>1</v>
      </c>
    </row>
    <row r="30" spans="1:17" s="4" customFormat="1">
      <c r="A30" s="18" t="s">
        <v>35</v>
      </c>
      <c r="B30" s="18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/>
      <c r="M30" s="5"/>
      <c r="N30" s="5"/>
      <c r="O30" s="5">
        <f>SUM(C30:N30)</f>
        <v>0</v>
      </c>
      <c r="P30" s="5">
        <v>100</v>
      </c>
      <c r="Q30" s="14">
        <f>O30/P30</f>
        <v>0</v>
      </c>
    </row>
    <row r="31" spans="1:17" s="4" customFormat="1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4"/>
    </row>
    <row r="32" spans="1:17" s="4" customFormat="1">
      <c r="A32" s="3" t="s">
        <v>36</v>
      </c>
      <c r="B32" s="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4"/>
    </row>
    <row r="33" spans="1:17" s="4" customFormat="1">
      <c r="A33" s="4" t="s">
        <v>37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/>
      <c r="M33" s="5"/>
      <c r="N33" s="5"/>
      <c r="O33" s="5">
        <f>SUM(C33:N33)</f>
        <v>0</v>
      </c>
      <c r="P33" s="5">
        <v>187</v>
      </c>
      <c r="Q33" s="14">
        <f>O33/P33</f>
        <v>0</v>
      </c>
    </row>
    <row r="34" spans="1:17" s="4" customFormat="1">
      <c r="A34" s="4" t="s">
        <v>38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34.799999999999997</v>
      </c>
      <c r="L34" s="5"/>
      <c r="M34" s="5"/>
      <c r="N34" s="5"/>
      <c r="O34" s="5">
        <f>SUM(C34:N34)</f>
        <v>34.799999999999997</v>
      </c>
      <c r="P34" s="5">
        <v>135</v>
      </c>
      <c r="Q34" s="14">
        <f>O34/P34</f>
        <v>0.25777777777777777</v>
      </c>
    </row>
    <row r="35" spans="1:17" s="4" customFormat="1">
      <c r="A35" s="4" t="s">
        <v>39</v>
      </c>
      <c r="C35" s="5">
        <v>0</v>
      </c>
      <c r="D35" s="5">
        <v>10.95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/>
      <c r="M35" s="5"/>
      <c r="N35" s="5"/>
      <c r="O35" s="5">
        <f>SUM(C35:N35)</f>
        <v>10.95</v>
      </c>
      <c r="P35" s="5">
        <v>938</v>
      </c>
      <c r="Q35" s="14">
        <f>O35/P35</f>
        <v>1.1673773987206822E-2</v>
      </c>
    </row>
    <row r="36" spans="1:17" s="4" customFormat="1">
      <c r="A36" s="4" t="s">
        <v>104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/>
      <c r="M36" s="5"/>
      <c r="N36" s="5"/>
      <c r="O36" s="5">
        <f>SUM(C36:N36)</f>
        <v>0</v>
      </c>
      <c r="P36" s="5">
        <v>200</v>
      </c>
      <c r="Q36" s="14">
        <f>O36/P36</f>
        <v>0</v>
      </c>
    </row>
    <row r="37" spans="1:17" s="4" customFormat="1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10"/>
      <c r="Q37" s="14"/>
    </row>
    <row r="38" spans="1:17" s="4" customFormat="1">
      <c r="A38" s="3" t="s">
        <v>40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4"/>
    </row>
    <row r="39" spans="1:17" s="4" customFormat="1">
      <c r="A39" s="18" t="s">
        <v>41</v>
      </c>
      <c r="B39" s="18"/>
      <c r="C39" s="5">
        <v>0</v>
      </c>
      <c r="D39" s="5">
        <v>0</v>
      </c>
      <c r="E39" s="5">
        <v>0</v>
      </c>
      <c r="F39" s="5">
        <v>303</v>
      </c>
      <c r="G39" s="5">
        <v>0</v>
      </c>
      <c r="H39" s="5">
        <v>0</v>
      </c>
      <c r="I39" s="5">
        <v>0</v>
      </c>
      <c r="J39" s="5">
        <v>0</v>
      </c>
      <c r="K39" s="5">
        <v>155.36000000000001</v>
      </c>
      <c r="L39" s="5"/>
      <c r="M39" s="5"/>
      <c r="N39" s="5"/>
      <c r="O39" s="5">
        <f>SUM(C39:N39)</f>
        <v>458.36</v>
      </c>
      <c r="P39" s="5">
        <v>600</v>
      </c>
      <c r="Q39" s="14">
        <f>O39/P39</f>
        <v>0.76393333333333335</v>
      </c>
    </row>
    <row r="40" spans="1:17" s="4" customFormat="1">
      <c r="A40" s="18" t="s">
        <v>42</v>
      </c>
      <c r="B40" s="18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510</v>
      </c>
      <c r="L40" s="5"/>
      <c r="M40" s="5"/>
      <c r="N40" s="5"/>
      <c r="O40" s="5">
        <f>SUM(C40:N40)</f>
        <v>510</v>
      </c>
      <c r="P40" s="5">
        <v>1650</v>
      </c>
      <c r="Q40" s="14">
        <f>O40/P40</f>
        <v>0.30909090909090908</v>
      </c>
    </row>
    <row r="41" spans="1:17" s="4" customFormat="1">
      <c r="A41" s="18" t="s">
        <v>43</v>
      </c>
      <c r="B41" s="18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/>
      <c r="M41" s="5"/>
      <c r="N41" s="5"/>
      <c r="O41" s="5">
        <f>SUM(C41:N41)</f>
        <v>0</v>
      </c>
      <c r="P41" s="5">
        <v>750</v>
      </c>
      <c r="Q41" s="14">
        <f>O41/P41</f>
        <v>0</v>
      </c>
    </row>
    <row r="42" spans="1:17" s="4" customFormat="1">
      <c r="A42" s="4" t="s">
        <v>44</v>
      </c>
      <c r="C42" s="5">
        <v>0</v>
      </c>
      <c r="D42" s="5">
        <v>0</v>
      </c>
      <c r="E42" s="5">
        <v>2500</v>
      </c>
      <c r="F42" s="5">
        <v>0</v>
      </c>
      <c r="G42" s="5">
        <v>2500</v>
      </c>
      <c r="H42" s="5">
        <v>0</v>
      </c>
      <c r="I42" s="5">
        <v>0</v>
      </c>
      <c r="J42" s="5">
        <v>0</v>
      </c>
      <c r="K42" s="5">
        <v>2500</v>
      </c>
      <c r="L42" s="5"/>
      <c r="M42" s="5"/>
      <c r="N42" s="5"/>
      <c r="O42" s="5">
        <f>SUM(C42:N42)</f>
        <v>7500</v>
      </c>
      <c r="P42" s="5">
        <v>10514</v>
      </c>
      <c r="Q42" s="14">
        <f>O42/P42</f>
        <v>0.71333460148373595</v>
      </c>
    </row>
    <row r="43" spans="1:17" s="4" customFormat="1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14"/>
    </row>
    <row r="44" spans="1:17" s="4" customFormat="1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14"/>
    </row>
    <row r="45" spans="1:17" s="4" customFormat="1">
      <c r="C45" s="2" t="s">
        <v>0</v>
      </c>
      <c r="D45" s="2" t="s">
        <v>1</v>
      </c>
      <c r="E45" s="2" t="s">
        <v>2</v>
      </c>
      <c r="F45" s="2" t="s">
        <v>3</v>
      </c>
      <c r="G45" s="2" t="s">
        <v>4</v>
      </c>
      <c r="H45" s="2" t="s">
        <v>5</v>
      </c>
      <c r="I45" s="2" t="s">
        <v>6</v>
      </c>
      <c r="J45" s="2" t="s">
        <v>7</v>
      </c>
      <c r="K45" s="2" t="s">
        <v>8</v>
      </c>
      <c r="L45" s="2" t="s">
        <v>9</v>
      </c>
      <c r="M45" s="2" t="s">
        <v>10</v>
      </c>
      <c r="N45" s="2" t="s">
        <v>11</v>
      </c>
      <c r="O45" s="2" t="s">
        <v>12</v>
      </c>
      <c r="P45" s="2" t="s">
        <v>13</v>
      </c>
      <c r="Q45" s="13" t="s">
        <v>14</v>
      </c>
    </row>
    <row r="46" spans="1:17" s="4" customFormat="1">
      <c r="A46" s="3" t="s">
        <v>45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14"/>
    </row>
    <row r="47" spans="1:17" s="3" customFormat="1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Q47" s="15"/>
    </row>
    <row r="48" spans="1:17" s="3" customFormat="1">
      <c r="A48" s="18" t="s">
        <v>46</v>
      </c>
      <c r="B48" s="18"/>
      <c r="C48" s="5">
        <v>1112.08</v>
      </c>
      <c r="D48" s="5">
        <v>1747.97</v>
      </c>
      <c r="E48" s="5">
        <v>1112.08</v>
      </c>
      <c r="F48" s="5">
        <v>1112.08</v>
      </c>
      <c r="G48" s="5">
        <v>1681.38</v>
      </c>
      <c r="H48" s="5">
        <v>1668.12</v>
      </c>
      <c r="I48" s="5">
        <v>1112.08</v>
      </c>
      <c r="J48" s="5">
        <v>1756.93</v>
      </c>
      <c r="K48" s="5">
        <v>1112.08</v>
      </c>
      <c r="L48" s="5"/>
      <c r="M48" s="5"/>
      <c r="N48" s="5"/>
      <c r="O48" s="5">
        <f t="shared" ref="O48:O54" si="5">SUM(C48:N48)</f>
        <v>12414.8</v>
      </c>
      <c r="P48" s="5">
        <v>16901</v>
      </c>
      <c r="Q48" s="14">
        <f t="shared" ref="Q48:Q54" si="6">O48/P48</f>
        <v>0.73456008520205895</v>
      </c>
    </row>
    <row r="49" spans="1:17" s="3" customFormat="1">
      <c r="A49" s="18" t="s">
        <v>47</v>
      </c>
      <c r="B49" s="18"/>
      <c r="C49" s="5">
        <v>25</v>
      </c>
      <c r="D49" s="5">
        <v>0</v>
      </c>
      <c r="E49" s="5">
        <v>0</v>
      </c>
      <c r="F49" s="5">
        <v>193</v>
      </c>
      <c r="G49" s="5">
        <v>0</v>
      </c>
      <c r="H49" s="5">
        <v>0</v>
      </c>
      <c r="I49" s="5">
        <v>125</v>
      </c>
      <c r="J49" s="5">
        <v>0</v>
      </c>
      <c r="K49" s="5">
        <v>0</v>
      </c>
      <c r="L49" s="5"/>
      <c r="M49" s="5"/>
      <c r="N49" s="5"/>
      <c r="O49" s="5">
        <f t="shared" si="5"/>
        <v>343</v>
      </c>
      <c r="P49" s="5">
        <v>3050</v>
      </c>
      <c r="Q49" s="14">
        <f t="shared" si="6"/>
        <v>0.11245901639344262</v>
      </c>
    </row>
    <row r="50" spans="1:17" s="3" customFormat="1">
      <c r="A50" s="18" t="s">
        <v>48</v>
      </c>
      <c r="B50" s="18"/>
      <c r="C50" s="5">
        <v>0</v>
      </c>
      <c r="D50" s="5">
        <v>973.11</v>
      </c>
      <c r="E50" s="5">
        <v>650.03</v>
      </c>
      <c r="F50" s="5">
        <v>650.03</v>
      </c>
      <c r="G50" s="5">
        <v>1026.95</v>
      </c>
      <c r="H50" s="5">
        <v>650.03</v>
      </c>
      <c r="I50" s="5">
        <v>650</v>
      </c>
      <c r="J50" s="5">
        <v>973.11</v>
      </c>
      <c r="K50" s="5">
        <v>650.03</v>
      </c>
      <c r="L50" s="5"/>
      <c r="M50" s="5"/>
      <c r="N50" s="5"/>
      <c r="O50" s="5">
        <f t="shared" si="5"/>
        <v>6223.2899999999991</v>
      </c>
      <c r="P50" s="5">
        <v>7800</v>
      </c>
      <c r="Q50" s="14">
        <f t="shared" si="6"/>
        <v>0.79785769230769221</v>
      </c>
    </row>
    <row r="51" spans="1:17" s="3" customFormat="1">
      <c r="A51" s="4" t="s">
        <v>49</v>
      </c>
      <c r="B51" s="4"/>
      <c r="C51" s="5">
        <v>0</v>
      </c>
      <c r="D51" s="5">
        <v>95</v>
      </c>
      <c r="E51" s="5">
        <v>50</v>
      </c>
      <c r="F51" s="5">
        <v>40</v>
      </c>
      <c r="G51" s="5">
        <v>0</v>
      </c>
      <c r="H51" s="5">
        <v>0</v>
      </c>
      <c r="I51" s="5">
        <v>30</v>
      </c>
      <c r="J51" s="5">
        <v>0</v>
      </c>
      <c r="K51" s="5">
        <v>0</v>
      </c>
      <c r="L51" s="5"/>
      <c r="M51" s="5"/>
      <c r="N51" s="5"/>
      <c r="O51" s="5">
        <f t="shared" si="5"/>
        <v>215</v>
      </c>
      <c r="P51" s="5">
        <v>5200</v>
      </c>
      <c r="Q51" s="14">
        <f t="shared" si="6"/>
        <v>4.1346153846153845E-2</v>
      </c>
    </row>
    <row r="52" spans="1:17" s="3" customFormat="1">
      <c r="A52" s="4" t="s">
        <v>50</v>
      </c>
      <c r="B52" s="4"/>
      <c r="C52" s="5">
        <v>0</v>
      </c>
      <c r="D52" s="5">
        <v>73.900000000000006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/>
      <c r="M52" s="5"/>
      <c r="N52" s="5"/>
      <c r="O52" s="5">
        <f t="shared" si="5"/>
        <v>73.900000000000006</v>
      </c>
      <c r="P52" s="5">
        <v>3570</v>
      </c>
      <c r="Q52" s="14">
        <f t="shared" si="6"/>
        <v>2.0700280112044819E-2</v>
      </c>
    </row>
    <row r="53" spans="1:17" s="4" customFormat="1">
      <c r="A53" s="18" t="s">
        <v>51</v>
      </c>
      <c r="B53" s="18"/>
      <c r="C53" s="5">
        <v>0</v>
      </c>
      <c r="D53" s="5">
        <v>164.93</v>
      </c>
      <c r="E53" s="5">
        <v>110.17</v>
      </c>
      <c r="F53" s="5">
        <v>110.17</v>
      </c>
      <c r="G53" s="5">
        <v>498.14</v>
      </c>
      <c r="H53" s="5">
        <v>443.28</v>
      </c>
      <c r="I53" s="5">
        <v>443.28</v>
      </c>
      <c r="J53" s="5">
        <v>663.6</v>
      </c>
      <c r="K53" s="5">
        <v>407.49</v>
      </c>
      <c r="L53" s="5"/>
      <c r="M53" s="5"/>
      <c r="N53" s="5"/>
      <c r="O53" s="5">
        <f t="shared" si="5"/>
        <v>2841.0600000000004</v>
      </c>
      <c r="P53" s="5">
        <v>7500</v>
      </c>
      <c r="Q53" s="14">
        <f t="shared" si="6"/>
        <v>0.37880800000000003</v>
      </c>
    </row>
    <row r="54" spans="1:17" s="4" customFormat="1">
      <c r="A54" s="12" t="s">
        <v>105</v>
      </c>
      <c r="B54" s="12"/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/>
      <c r="M54" s="5"/>
      <c r="N54" s="5"/>
      <c r="O54" s="5">
        <f t="shared" si="5"/>
        <v>0</v>
      </c>
      <c r="P54" s="5">
        <v>423</v>
      </c>
      <c r="Q54" s="14">
        <f t="shared" si="6"/>
        <v>0</v>
      </c>
    </row>
    <row r="55" spans="1:17" s="4" customFormat="1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10"/>
      <c r="Q55" s="14"/>
    </row>
    <row r="56" spans="1:17" s="4" customFormat="1">
      <c r="A56" s="3" t="s">
        <v>52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2">
        <v>67937</v>
      </c>
      <c r="Q56" s="14">
        <f>(O57+O58+O59+O60)/P56</f>
        <v>0.71359745057921298</v>
      </c>
    </row>
    <row r="57" spans="1:17" s="4" customFormat="1">
      <c r="A57" s="1" t="s">
        <v>53</v>
      </c>
      <c r="C57" s="5">
        <f>5380.88+20</f>
        <v>5400.88</v>
      </c>
      <c r="D57" s="5">
        <v>4374.6400000000003</v>
      </c>
      <c r="E57" s="5">
        <v>4141.17</v>
      </c>
      <c r="F57" s="5">
        <v>3953.44</v>
      </c>
      <c r="G57" s="5">
        <v>3953.44</v>
      </c>
      <c r="H57" s="5">
        <v>5914.11</v>
      </c>
      <c r="I57" s="5">
        <v>3953.44</v>
      </c>
      <c r="J57" s="5">
        <v>4059.04</v>
      </c>
      <c r="K57" s="5">
        <v>3970.24</v>
      </c>
      <c r="L57" s="5"/>
      <c r="M57" s="5"/>
      <c r="N57" s="5"/>
      <c r="O57" s="5">
        <f>SUM(C57:N57)</f>
        <v>39720.399999999994</v>
      </c>
      <c r="P57" s="5">
        <v>53809</v>
      </c>
      <c r="Q57" s="14"/>
    </row>
    <row r="58" spans="1:17" s="4" customFormat="1">
      <c r="A58" s="4" t="s">
        <v>54</v>
      </c>
      <c r="C58" s="5">
        <v>430.5</v>
      </c>
      <c r="D58" s="5">
        <v>428.66</v>
      </c>
      <c r="E58" s="5">
        <v>85.6</v>
      </c>
      <c r="F58" s="5">
        <v>114.2</v>
      </c>
      <c r="G58" s="5">
        <v>85.6</v>
      </c>
      <c r="H58" s="5">
        <v>85.6</v>
      </c>
      <c r="I58" s="5">
        <v>85.6</v>
      </c>
      <c r="J58" s="5">
        <v>85.6</v>
      </c>
      <c r="K58" s="5">
        <v>85.6</v>
      </c>
      <c r="L58" s="5"/>
      <c r="M58" s="5"/>
      <c r="N58" s="5"/>
      <c r="O58" s="5">
        <f>SUM(C58:N58)</f>
        <v>1486.9599999999996</v>
      </c>
      <c r="P58" s="5">
        <v>1628</v>
      </c>
      <c r="Q58" s="14"/>
    </row>
    <row r="59" spans="1:17" s="4" customFormat="1">
      <c r="A59" s="4" t="s">
        <v>55</v>
      </c>
      <c r="C59" s="5">
        <v>227.45</v>
      </c>
      <c r="D59" s="5">
        <v>454.9</v>
      </c>
      <c r="E59" s="5">
        <v>324.94</v>
      </c>
      <c r="F59" s="5">
        <v>400</v>
      </c>
      <c r="G59" s="5">
        <v>400</v>
      </c>
      <c r="H59" s="5">
        <v>400</v>
      </c>
      <c r="I59" s="5">
        <v>400</v>
      </c>
      <c r="J59" s="5">
        <v>400</v>
      </c>
      <c r="K59" s="5">
        <v>400</v>
      </c>
      <c r="L59" s="5"/>
      <c r="M59" s="5"/>
      <c r="N59" s="5"/>
      <c r="O59" s="5">
        <f>SUM(C59:N59)</f>
        <v>3407.29</v>
      </c>
      <c r="P59" s="5">
        <v>5000</v>
      </c>
      <c r="Q59" s="14"/>
    </row>
    <row r="60" spans="1:17" s="4" customFormat="1">
      <c r="A60" s="4" t="s">
        <v>56</v>
      </c>
      <c r="C60" s="5">
        <v>435.9</v>
      </c>
      <c r="D60" s="5">
        <v>200</v>
      </c>
      <c r="E60" s="5">
        <v>250</v>
      </c>
      <c r="F60" s="5">
        <v>1585</v>
      </c>
      <c r="G60" s="5">
        <v>0</v>
      </c>
      <c r="H60" s="5">
        <v>0</v>
      </c>
      <c r="I60" s="5">
        <v>0</v>
      </c>
      <c r="J60" s="5">
        <v>0</v>
      </c>
      <c r="K60" s="5">
        <v>1394.12</v>
      </c>
      <c r="L60" s="5"/>
      <c r="M60" s="5"/>
      <c r="N60" s="5"/>
      <c r="O60" s="5">
        <f>SUM(C60:N60)</f>
        <v>3865.02</v>
      </c>
      <c r="P60" s="5">
        <v>7500</v>
      </c>
      <c r="Q60" s="14"/>
    </row>
    <row r="61" spans="1:17" s="4" customFormat="1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14"/>
    </row>
    <row r="62" spans="1:17" s="4" customFormat="1">
      <c r="A62" s="6" t="s">
        <v>57</v>
      </c>
      <c r="C62" s="2">
        <f t="shared" ref="C62:O62" si="7">SUM(C17:C60)</f>
        <v>10959.730000000001</v>
      </c>
      <c r="D62" s="2">
        <f t="shared" si="7"/>
        <v>9617.9800000000014</v>
      </c>
      <c r="E62" s="2">
        <f t="shared" si="7"/>
        <v>11229.5</v>
      </c>
      <c r="F62" s="2">
        <f t="shared" si="7"/>
        <v>9500.5799999999981</v>
      </c>
      <c r="G62" s="2">
        <f t="shared" si="7"/>
        <v>16672.650000000001</v>
      </c>
      <c r="H62" s="2">
        <f t="shared" si="7"/>
        <v>11603.710000000001</v>
      </c>
      <c r="I62" s="2">
        <f t="shared" si="7"/>
        <v>9081.0499999999993</v>
      </c>
      <c r="J62" s="2">
        <f t="shared" si="7"/>
        <v>9244.8799999999992</v>
      </c>
      <c r="K62" s="2">
        <f t="shared" si="7"/>
        <v>14743.57</v>
      </c>
      <c r="L62" s="2">
        <f t="shared" si="7"/>
        <v>0</v>
      </c>
      <c r="M62" s="2">
        <f t="shared" si="7"/>
        <v>0</v>
      </c>
      <c r="N62" s="2">
        <f t="shared" si="7"/>
        <v>0</v>
      </c>
      <c r="O62" s="2">
        <f t="shared" si="7"/>
        <v>102653.65</v>
      </c>
      <c r="P62" s="2">
        <f>SUM(P17:P54,P56)</f>
        <v>165061</v>
      </c>
      <c r="Q62" s="13">
        <f>O62/P62</f>
        <v>0.62191341382882692</v>
      </c>
    </row>
    <row r="63" spans="1:17" s="4" customFormat="1">
      <c r="A63" s="6" t="s">
        <v>58</v>
      </c>
      <c r="B63" s="6"/>
      <c r="C63" s="5">
        <f t="shared" ref="C63:O63" si="8">C11-C62</f>
        <v>14855.99</v>
      </c>
      <c r="D63" s="5">
        <f t="shared" si="8"/>
        <v>571.92999999999847</v>
      </c>
      <c r="E63" s="5">
        <f t="shared" si="8"/>
        <v>-6730.71</v>
      </c>
      <c r="F63" s="5">
        <f t="shared" si="8"/>
        <v>-7284.5799999999981</v>
      </c>
      <c r="G63" s="5">
        <f t="shared" si="8"/>
        <v>-4765.8000000000011</v>
      </c>
      <c r="H63" s="5">
        <f t="shared" si="8"/>
        <v>7741.9899999999961</v>
      </c>
      <c r="I63" s="5">
        <f t="shared" si="8"/>
        <v>15187.27</v>
      </c>
      <c r="J63" s="5">
        <f t="shared" si="8"/>
        <v>2442.7100000000009</v>
      </c>
      <c r="K63" s="5">
        <f t="shared" si="8"/>
        <v>-4381.2700000000004</v>
      </c>
      <c r="L63" s="5">
        <f t="shared" si="8"/>
        <v>0</v>
      </c>
      <c r="M63" s="5">
        <f t="shared" si="8"/>
        <v>0</v>
      </c>
      <c r="N63" s="5">
        <f t="shared" si="8"/>
        <v>0</v>
      </c>
      <c r="O63" s="2">
        <f t="shared" si="8"/>
        <v>17637.530000000013</v>
      </c>
      <c r="P63" s="5"/>
      <c r="Q63" s="14"/>
    </row>
    <row r="64" spans="1:17" s="4" customFormat="1">
      <c r="A64" s="6"/>
      <c r="B64" s="6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2"/>
      <c r="P64" s="5"/>
      <c r="Q64" s="14"/>
    </row>
    <row r="65" spans="1:17" s="4" customFormat="1">
      <c r="A65" s="3" t="s">
        <v>59</v>
      </c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14"/>
    </row>
    <row r="66" spans="1:17" s="4" customFormat="1" ht="14.4">
      <c r="B66" s="7"/>
      <c r="C66" s="2" t="s">
        <v>11</v>
      </c>
      <c r="D66" s="2" t="s">
        <v>0</v>
      </c>
      <c r="E66" s="2" t="s">
        <v>1</v>
      </c>
      <c r="F66" s="2" t="s">
        <v>2</v>
      </c>
      <c r="G66" s="2" t="s">
        <v>3</v>
      </c>
      <c r="H66" s="2" t="s">
        <v>4</v>
      </c>
      <c r="I66" s="2" t="s">
        <v>5</v>
      </c>
      <c r="J66" s="2" t="s">
        <v>6</v>
      </c>
      <c r="K66" s="2" t="s">
        <v>7</v>
      </c>
      <c r="L66" s="2" t="s">
        <v>8</v>
      </c>
      <c r="M66" s="2" t="s">
        <v>9</v>
      </c>
      <c r="N66" s="2" t="s">
        <v>10</v>
      </c>
      <c r="O66" s="2" t="s">
        <v>11</v>
      </c>
      <c r="P66" s="5"/>
      <c r="Q66" s="14"/>
    </row>
    <row r="67" spans="1:17" s="4" customFormat="1" ht="14.4">
      <c r="A67" s="3" t="s">
        <v>60</v>
      </c>
      <c r="B67" s="7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14"/>
    </row>
    <row r="68" spans="1:17" s="4" customFormat="1">
      <c r="A68" s="4" t="s">
        <v>110</v>
      </c>
      <c r="C68" s="5">
        <v>79192.97</v>
      </c>
      <c r="D68" s="5">
        <v>67116.33</v>
      </c>
      <c r="E68" s="5">
        <v>66336.88</v>
      </c>
      <c r="F68" s="5">
        <v>60000.37</v>
      </c>
      <c r="G68" s="5">
        <v>52517.47</v>
      </c>
      <c r="H68" s="5">
        <v>46241.38</v>
      </c>
      <c r="I68" s="5">
        <v>56453.37</v>
      </c>
      <c r="J68" s="5">
        <v>73674.179999999993</v>
      </c>
      <c r="K68" s="5">
        <v>75927.320000000007</v>
      </c>
      <c r="L68" s="5">
        <v>70894.63</v>
      </c>
      <c r="M68" s="5"/>
      <c r="N68" s="5"/>
      <c r="O68" s="5"/>
      <c r="P68" s="5"/>
      <c r="Q68" s="14"/>
    </row>
    <row r="69" spans="1:17" s="4" customFormat="1">
      <c r="A69" s="4" t="s">
        <v>111</v>
      </c>
      <c r="C69" s="5">
        <v>2979.49</v>
      </c>
      <c r="D69" s="5">
        <v>2979.61</v>
      </c>
      <c r="E69" s="5">
        <v>2979.73</v>
      </c>
      <c r="F69" s="5">
        <v>2979.85</v>
      </c>
      <c r="G69" s="5">
        <v>2979.97</v>
      </c>
      <c r="H69" s="5">
        <v>2980.06</v>
      </c>
      <c r="I69" s="5">
        <v>2980.08</v>
      </c>
      <c r="J69" s="5">
        <v>2980.1</v>
      </c>
      <c r="K69" s="5">
        <v>2980.12</v>
      </c>
      <c r="L69" s="5">
        <v>2980.14</v>
      </c>
      <c r="M69" s="5"/>
      <c r="N69" s="5"/>
      <c r="O69" s="5"/>
      <c r="P69" s="5"/>
      <c r="Q69" s="14"/>
    </row>
    <row r="70" spans="1:17" s="4" customFormat="1">
      <c r="A70" s="4" t="s">
        <v>61</v>
      </c>
      <c r="C70" s="5">
        <v>76203.64</v>
      </c>
      <c r="D70" s="5">
        <v>76849.08</v>
      </c>
      <c r="E70" s="5">
        <v>77257.88</v>
      </c>
      <c r="F70" s="5">
        <v>77979.59</v>
      </c>
      <c r="G70" s="5">
        <v>76587.570000000007</v>
      </c>
      <c r="H70" s="5">
        <v>78049.460000000006</v>
      </c>
      <c r="I70" s="5">
        <v>77395.240000000005</v>
      </c>
      <c r="J70" s="5">
        <v>78819.53</v>
      </c>
      <c r="K70" s="5">
        <v>77179.97</v>
      </c>
      <c r="L70" s="5">
        <v>76208.14</v>
      </c>
      <c r="M70" s="5"/>
      <c r="N70" s="5"/>
      <c r="O70" s="5"/>
      <c r="P70" s="5"/>
      <c r="Q70" s="14"/>
    </row>
    <row r="71" spans="1:17" s="4" customFormat="1">
      <c r="A71" s="6" t="s">
        <v>62</v>
      </c>
      <c r="B71" s="8"/>
      <c r="C71" s="2">
        <f t="shared" ref="C71:O71" si="9">SUM(C68:C70)</f>
        <v>158376.1</v>
      </c>
      <c r="D71" s="2">
        <f t="shared" si="9"/>
        <v>146945.02000000002</v>
      </c>
      <c r="E71" s="2">
        <f t="shared" si="9"/>
        <v>146574.49</v>
      </c>
      <c r="F71" s="2">
        <f t="shared" si="9"/>
        <v>140959.81</v>
      </c>
      <c r="G71" s="2">
        <f t="shared" si="9"/>
        <v>132085.01</v>
      </c>
      <c r="H71" s="2">
        <f t="shared" si="9"/>
        <v>127270.9</v>
      </c>
      <c r="I71" s="2">
        <f t="shared" si="9"/>
        <v>136828.69</v>
      </c>
      <c r="J71" s="2">
        <f t="shared" si="9"/>
        <v>155473.81</v>
      </c>
      <c r="K71" s="2">
        <f t="shared" si="9"/>
        <v>156087.41</v>
      </c>
      <c r="L71" s="2">
        <f t="shared" si="9"/>
        <v>150082.91</v>
      </c>
      <c r="M71" s="2">
        <f t="shared" si="9"/>
        <v>0</v>
      </c>
      <c r="N71" s="2">
        <f t="shared" si="9"/>
        <v>0</v>
      </c>
      <c r="O71" s="2">
        <f t="shared" si="9"/>
        <v>0</v>
      </c>
      <c r="P71" s="5"/>
      <c r="Q71" s="14"/>
    </row>
    <row r="72" spans="1:17" s="4" customFormat="1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4"/>
    </row>
    <row r="73" spans="1:17" s="4" customFormat="1">
      <c r="A73" s="3" t="s">
        <v>63</v>
      </c>
      <c r="B73" s="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4"/>
    </row>
    <row r="74" spans="1:17" s="4" customFormat="1">
      <c r="A74" s="3"/>
      <c r="B74" s="3"/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/>
      <c r="Q74" s="14"/>
    </row>
    <row r="75" spans="1:17" s="4" customFormat="1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4"/>
    </row>
    <row r="76" spans="1:17" s="4" customFormat="1">
      <c r="A76" s="6" t="s">
        <v>64</v>
      </c>
      <c r="B76" s="6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4"/>
    </row>
    <row r="77" spans="1:17" s="4" customFormat="1">
      <c r="A77" s="6" t="s">
        <v>65</v>
      </c>
      <c r="B77" s="8"/>
      <c r="C77" s="5">
        <f>C74-C71</f>
        <v>-158376.1</v>
      </c>
      <c r="D77" s="5">
        <f t="shared" ref="D77:O77" si="10">D74-D71</f>
        <v>-146945.02000000002</v>
      </c>
      <c r="E77" s="5">
        <f t="shared" si="10"/>
        <v>-146574.49</v>
      </c>
      <c r="F77" s="5">
        <f t="shared" si="10"/>
        <v>-140959.81</v>
      </c>
      <c r="G77" s="5">
        <f t="shared" si="10"/>
        <v>-132085.01</v>
      </c>
      <c r="H77" s="5">
        <f t="shared" si="10"/>
        <v>-127270.9</v>
      </c>
      <c r="I77" s="5">
        <f t="shared" si="10"/>
        <v>-136828.69</v>
      </c>
      <c r="J77" s="5">
        <f t="shared" si="10"/>
        <v>-155473.81</v>
      </c>
      <c r="K77" s="5">
        <f t="shared" si="10"/>
        <v>-156087.41</v>
      </c>
      <c r="L77" s="5">
        <f t="shared" si="10"/>
        <v>-150082.91</v>
      </c>
      <c r="M77" s="5">
        <f t="shared" si="10"/>
        <v>0</v>
      </c>
      <c r="N77" s="5">
        <f t="shared" si="10"/>
        <v>0</v>
      </c>
      <c r="O77" s="5">
        <f t="shared" si="10"/>
        <v>0</v>
      </c>
      <c r="P77" s="5"/>
      <c r="Q77" s="14"/>
    </row>
    <row r="78" spans="1:17" s="4" customFormat="1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4"/>
    </row>
    <row r="79" spans="1:17" s="4" customFormat="1">
      <c r="A79" s="3" t="s">
        <v>66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4"/>
    </row>
    <row r="80" spans="1:17" s="4" customFormat="1">
      <c r="A80" s="4" t="s">
        <v>67</v>
      </c>
      <c r="C80" s="5">
        <f t="shared" ref="C80:O80" si="11">C71</f>
        <v>158376.1</v>
      </c>
      <c r="D80" s="5">
        <f t="shared" si="11"/>
        <v>146945.02000000002</v>
      </c>
      <c r="E80" s="5">
        <f t="shared" si="11"/>
        <v>146574.49</v>
      </c>
      <c r="F80" s="5">
        <f t="shared" si="11"/>
        <v>140959.81</v>
      </c>
      <c r="G80" s="5">
        <f t="shared" si="11"/>
        <v>132085.01</v>
      </c>
      <c r="H80" s="5">
        <f t="shared" si="11"/>
        <v>127270.9</v>
      </c>
      <c r="I80" s="5">
        <f t="shared" si="11"/>
        <v>136828.69</v>
      </c>
      <c r="J80" s="5">
        <f t="shared" si="11"/>
        <v>155473.81</v>
      </c>
      <c r="K80" s="5">
        <f t="shared" si="11"/>
        <v>156087.41</v>
      </c>
      <c r="L80" s="5">
        <f t="shared" si="11"/>
        <v>150082.91</v>
      </c>
      <c r="M80" s="5">
        <f t="shared" si="11"/>
        <v>0</v>
      </c>
      <c r="N80" s="5">
        <f t="shared" si="11"/>
        <v>0</v>
      </c>
      <c r="O80" s="5">
        <f t="shared" si="11"/>
        <v>0</v>
      </c>
      <c r="P80" s="5"/>
      <c r="Q80" s="14"/>
    </row>
    <row r="81" spans="1:17" s="4" customFormat="1">
      <c r="A81" s="4" t="s">
        <v>68</v>
      </c>
      <c r="C81" s="5">
        <f>C106</f>
        <v>38219</v>
      </c>
      <c r="D81" s="5">
        <f t="shared" ref="D81:O81" si="12">D106</f>
        <v>45076.82</v>
      </c>
      <c r="E81" s="5">
        <f t="shared" si="12"/>
        <v>44117.89</v>
      </c>
      <c r="F81" s="5">
        <f t="shared" si="12"/>
        <v>44117.89</v>
      </c>
      <c r="G81" s="5">
        <f t="shared" si="12"/>
        <v>44117.89</v>
      </c>
      <c r="H81" s="5">
        <f t="shared" si="12"/>
        <v>43003.18</v>
      </c>
      <c r="I81" s="5">
        <f t="shared" si="12"/>
        <v>44283.18</v>
      </c>
      <c r="J81" s="5">
        <f t="shared" si="12"/>
        <v>45583.18</v>
      </c>
      <c r="K81" s="5">
        <f t="shared" si="12"/>
        <v>45583.18</v>
      </c>
      <c r="L81" s="5">
        <f t="shared" si="12"/>
        <v>45583.18</v>
      </c>
      <c r="M81" s="5" t="e">
        <f t="shared" si="12"/>
        <v>#VALUE!</v>
      </c>
      <c r="N81" s="5" t="e">
        <f t="shared" si="12"/>
        <v>#VALUE!</v>
      </c>
      <c r="O81" s="5" t="e">
        <f t="shared" si="12"/>
        <v>#VALUE!</v>
      </c>
      <c r="Q81" s="16"/>
    </row>
    <row r="82" spans="1:17" s="4" customFormat="1">
      <c r="A82" s="4" t="s">
        <v>69</v>
      </c>
      <c r="C82" s="5">
        <f t="shared" ref="C82" si="13">C164</f>
        <v>10303</v>
      </c>
      <c r="D82" s="5">
        <f>D164</f>
        <v>7410</v>
      </c>
      <c r="E82" s="5">
        <f t="shared" ref="E82:O82" si="14">E164</f>
        <v>8232.68</v>
      </c>
      <c r="F82" s="5">
        <f t="shared" si="14"/>
        <v>8232.68</v>
      </c>
      <c r="G82" s="5">
        <f t="shared" si="14"/>
        <v>8382.68</v>
      </c>
      <c r="H82" s="5">
        <f t="shared" si="14"/>
        <v>8164.83</v>
      </c>
      <c r="I82" s="5">
        <f t="shared" si="14"/>
        <v>8669.83</v>
      </c>
      <c r="J82" s="5">
        <f t="shared" si="14"/>
        <v>8669.83</v>
      </c>
      <c r="K82" s="5">
        <f t="shared" si="14"/>
        <v>8555.26</v>
      </c>
      <c r="L82" s="5">
        <f t="shared" si="14"/>
        <v>9252.26</v>
      </c>
      <c r="M82" s="5" t="str">
        <f t="shared" si="14"/>
        <v/>
      </c>
      <c r="N82" s="5" t="str">
        <f t="shared" si="14"/>
        <v/>
      </c>
      <c r="O82" s="5" t="str">
        <f t="shared" si="14"/>
        <v/>
      </c>
      <c r="Q82" s="16"/>
    </row>
    <row r="83" spans="1:17" s="4" customFormat="1">
      <c r="A83" s="4" t="s">
        <v>70</v>
      </c>
      <c r="C83" s="5">
        <v>9421</v>
      </c>
      <c r="D83" s="5">
        <f>D136</f>
        <v>7439.6</v>
      </c>
      <c r="E83" s="5">
        <f t="shared" ref="E83:O83" si="15">E136</f>
        <v>6677.1</v>
      </c>
      <c r="F83" s="5">
        <f t="shared" si="15"/>
        <v>6677.1</v>
      </c>
      <c r="G83" s="5">
        <f t="shared" si="15"/>
        <v>6677.1</v>
      </c>
      <c r="H83" s="5">
        <f t="shared" si="15"/>
        <v>6902.1</v>
      </c>
      <c r="I83" s="5">
        <f t="shared" si="15"/>
        <v>6902.1</v>
      </c>
      <c r="J83" s="5">
        <f t="shared" si="15"/>
        <v>8196.6</v>
      </c>
      <c r="K83" s="5">
        <f t="shared" si="15"/>
        <v>7996.6</v>
      </c>
      <c r="L83" s="5">
        <f t="shared" si="15"/>
        <v>7996.6</v>
      </c>
      <c r="M83" s="5" t="str">
        <f t="shared" si="15"/>
        <v/>
      </c>
      <c r="N83" s="5" t="str">
        <f t="shared" si="15"/>
        <v/>
      </c>
      <c r="O83" s="5" t="str">
        <f t="shared" si="15"/>
        <v/>
      </c>
      <c r="Q83" s="16"/>
    </row>
    <row r="84" spans="1:17" s="4" customFormat="1">
      <c r="A84" s="4" t="s">
        <v>71</v>
      </c>
      <c r="C84" s="5">
        <v>14963.083333333299</v>
      </c>
      <c r="D84" s="5">
        <f>P11/12</f>
        <v>13755.083333333334</v>
      </c>
      <c r="E84" s="5">
        <v>13755</v>
      </c>
      <c r="F84" s="5">
        <v>13755</v>
      </c>
      <c r="G84" s="5">
        <v>13755</v>
      </c>
      <c r="H84" s="5">
        <v>13755</v>
      </c>
      <c r="I84" s="5">
        <v>13755</v>
      </c>
      <c r="J84" s="5">
        <v>13755</v>
      </c>
      <c r="K84" s="5">
        <v>13755</v>
      </c>
      <c r="L84" s="5">
        <v>13755</v>
      </c>
      <c r="M84" s="5">
        <v>13755</v>
      </c>
      <c r="N84" s="5">
        <v>13755</v>
      </c>
      <c r="O84" s="5">
        <v>13755</v>
      </c>
      <c r="Q84" s="16"/>
    </row>
    <row r="85" spans="1:17" s="4" customFormat="1">
      <c r="A85" s="6" t="s">
        <v>72</v>
      </c>
      <c r="B85" s="6"/>
      <c r="C85" s="2">
        <f t="shared" ref="C85:D85" si="16">IF(C81="",C80,C80-C81-C82-C83-C84)</f>
        <v>85470.016666666706</v>
      </c>
      <c r="D85" s="2">
        <f t="shared" si="16"/>
        <v>73263.516666666677</v>
      </c>
      <c r="E85" s="2">
        <f t="shared" ref="E85:O85" si="17">IF(E81="",E80,E80-E81-E82-E83-E84)</f>
        <v>73791.819999999978</v>
      </c>
      <c r="F85" s="2">
        <f t="shared" si="17"/>
        <v>68177.139999999985</v>
      </c>
      <c r="G85" s="2">
        <f t="shared" si="17"/>
        <v>59152.34</v>
      </c>
      <c r="H85" s="2">
        <f t="shared" si="17"/>
        <v>55445.789999999994</v>
      </c>
      <c r="I85" s="2">
        <f t="shared" si="17"/>
        <v>63218.58</v>
      </c>
      <c r="J85" s="2">
        <f t="shared" si="17"/>
        <v>79269.2</v>
      </c>
      <c r="K85" s="2">
        <f t="shared" si="17"/>
        <v>80197.37000000001</v>
      </c>
      <c r="L85" s="2">
        <f t="shared" si="17"/>
        <v>73495.87000000001</v>
      </c>
      <c r="M85" s="2" t="e">
        <f t="shared" si="17"/>
        <v>#VALUE!</v>
      </c>
      <c r="N85" s="2" t="e">
        <f t="shared" si="17"/>
        <v>#VALUE!</v>
      </c>
      <c r="O85" s="2" t="e">
        <f t="shared" si="17"/>
        <v>#VALUE!</v>
      </c>
      <c r="Q85" s="16"/>
    </row>
    <row r="86" spans="1:17" s="4" customFormat="1">
      <c r="A86" s="6"/>
      <c r="B86" s="4" t="s">
        <v>73</v>
      </c>
      <c r="G86" s="4" t="s">
        <v>74</v>
      </c>
      <c r="Q86" s="16"/>
    </row>
    <row r="87" spans="1:17" s="4" customFormat="1">
      <c r="A87" s="6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4"/>
    </row>
    <row r="88" spans="1:17" s="4" customFormat="1">
      <c r="A88" s="6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4"/>
    </row>
    <row r="89" spans="1:17" s="4" customFormat="1">
      <c r="A89" s="3" t="s">
        <v>75</v>
      </c>
      <c r="B89" s="3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14"/>
    </row>
    <row r="90" spans="1:17" s="4" customFormat="1">
      <c r="C90" s="2" t="s">
        <v>11</v>
      </c>
      <c r="D90" s="2" t="s">
        <v>0</v>
      </c>
      <c r="E90" s="2" t="s">
        <v>1</v>
      </c>
      <c r="F90" s="2" t="s">
        <v>2</v>
      </c>
      <c r="G90" s="2" t="s">
        <v>3</v>
      </c>
      <c r="H90" s="2" t="s">
        <v>4</v>
      </c>
      <c r="I90" s="2" t="s">
        <v>5</v>
      </c>
      <c r="J90" s="2" t="s">
        <v>6</v>
      </c>
      <c r="K90" s="2" t="s">
        <v>7</v>
      </c>
      <c r="L90" s="2" t="s">
        <v>8</v>
      </c>
      <c r="M90" s="2" t="s">
        <v>9</v>
      </c>
      <c r="N90" s="2" t="s">
        <v>10</v>
      </c>
      <c r="O90" s="2" t="s">
        <v>11</v>
      </c>
      <c r="P90" s="5"/>
      <c r="Q90" s="14"/>
    </row>
    <row r="91" spans="1:17" s="4" customFormat="1">
      <c r="A91" s="6" t="s">
        <v>76</v>
      </c>
      <c r="C91" s="2">
        <v>10918</v>
      </c>
      <c r="D91" s="2">
        <f t="shared" ref="D91" si="18">IF(AND(D93="",D92=""),"",C91+D93-D92)</f>
        <v>10918</v>
      </c>
      <c r="E91" s="2">
        <f t="shared" ref="E91" si="19">IF(AND(E93="",E92=""),"",D91+E93-E92)</f>
        <v>10918</v>
      </c>
      <c r="F91" s="2">
        <f t="shared" ref="F91" si="20">IF(AND(F93="",F92=""),"",E91+F93-F92)</f>
        <v>10918</v>
      </c>
      <c r="G91" s="2">
        <f t="shared" ref="G91" si="21">IF(AND(G93="",G92=""),"",F91+G93-G92)</f>
        <v>10918</v>
      </c>
      <c r="H91" s="2">
        <f t="shared" ref="H91" si="22">IF(AND(H93="",H92=""),"",G91+H93-H92)</f>
        <v>10918</v>
      </c>
      <c r="I91" s="2">
        <f t="shared" ref="I91" si="23">IF(AND(I93="",I92=""),"",H91+I93-I92)</f>
        <v>10918</v>
      </c>
      <c r="J91" s="2">
        <f t="shared" ref="J91" si="24">IF(AND(J93="",J92=""),"",I91+J93-J92)</f>
        <v>10918</v>
      </c>
      <c r="K91" s="2">
        <f t="shared" ref="K91" si="25">IF(AND(K93="",K92=""),"",J91+K93-K92)</f>
        <v>10918</v>
      </c>
      <c r="L91" s="2">
        <f t="shared" ref="L91" si="26">IF(AND(L93="",L92=""),"",K91+L93-L92)</f>
        <v>10918</v>
      </c>
      <c r="M91" s="2" t="str">
        <f t="shared" ref="M91" si="27">IF(AND(M93="",M92=""),"",L91+M93-M92)</f>
        <v/>
      </c>
      <c r="N91" s="2" t="str">
        <f t="shared" ref="N91" si="28">IF(AND(N93="",N92=""),"",M91+N93-N92)</f>
        <v/>
      </c>
      <c r="O91" s="2" t="str">
        <f t="shared" ref="O91" si="29">IF(AND(O93="",O92=""),"",N91+O93-O92)</f>
        <v/>
      </c>
      <c r="Q91" s="16"/>
    </row>
    <row r="92" spans="1:17" s="4" customFormat="1">
      <c r="A92" s="4" t="s">
        <v>77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/>
      <c r="N92" s="5"/>
      <c r="Q92" s="16"/>
    </row>
    <row r="93" spans="1:17" s="4" customFormat="1">
      <c r="A93" s="4" t="s">
        <v>78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/>
      <c r="N93" s="5"/>
      <c r="Q93" s="16"/>
    </row>
    <row r="94" spans="1:17" s="4" customFormat="1">
      <c r="A94" s="6" t="s">
        <v>79</v>
      </c>
      <c r="B94" s="6"/>
      <c r="C94" s="2">
        <v>91</v>
      </c>
      <c r="D94" s="2">
        <f t="shared" ref="D94" si="30">IF(AND(D96="",D95=""),"",C94+D96-D95)</f>
        <v>1661</v>
      </c>
      <c r="E94" s="2">
        <f t="shared" ref="E94" si="31">IF(AND(E96="",E95=""),"",D94+E96-E95)</f>
        <v>1661</v>
      </c>
      <c r="F94" s="2">
        <f t="shared" ref="F94" si="32">IF(AND(F96="",F95=""),"",E94+F96-F95)</f>
        <v>1661</v>
      </c>
      <c r="G94" s="2">
        <f t="shared" ref="G94" si="33">IF(AND(G96="",G95=""),"",F94+G96-G95)</f>
        <v>1661</v>
      </c>
      <c r="H94" s="2">
        <f t="shared" ref="H94" si="34">IF(AND(H96="",H95=""),"",G94+H96-H95)</f>
        <v>546.29</v>
      </c>
      <c r="I94" s="2">
        <f t="shared" ref="I94" si="35">IF(AND(I96="",I95=""),"",H94+I96-I95)</f>
        <v>1826.29</v>
      </c>
      <c r="J94" s="2">
        <f t="shared" ref="J94" si="36">IF(AND(J96="",J95=""),"",I94+J96-J95)</f>
        <v>3126.29</v>
      </c>
      <c r="K94" s="2">
        <f t="shared" ref="K94" si="37">IF(AND(K96="",K95=""),"",J94+K96-K95)</f>
        <v>3126.29</v>
      </c>
      <c r="L94" s="2">
        <f t="shared" ref="L94" si="38">IF(AND(L96="",L95=""),"",K94+L96-L95)</f>
        <v>3126.29</v>
      </c>
      <c r="M94" s="2" t="str">
        <f t="shared" ref="M94" si="39">IF(AND(M96="",M95=""),"",L94+M96-M95)</f>
        <v/>
      </c>
      <c r="N94" s="2" t="str">
        <f t="shared" ref="N94" si="40">IF(AND(N96="",N95=""),"",M94+N96-N95)</f>
        <v/>
      </c>
      <c r="O94" s="2" t="str">
        <f t="shared" ref="O94" si="41">IF(AND(O96="",O95=""),"",N94+O96-O95)</f>
        <v/>
      </c>
      <c r="Q94" s="16"/>
    </row>
    <row r="95" spans="1:17" s="4" customFormat="1">
      <c r="A95" s="4" t="s">
        <v>77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1114.71</v>
      </c>
      <c r="I95" s="5">
        <v>0</v>
      </c>
      <c r="J95" s="5">
        <v>0</v>
      </c>
      <c r="K95" s="5">
        <v>0</v>
      </c>
      <c r="L95" s="5">
        <v>0</v>
      </c>
      <c r="M95" s="5"/>
      <c r="N95" s="5"/>
      <c r="Q95" s="16"/>
    </row>
    <row r="96" spans="1:17" s="4" customFormat="1">
      <c r="A96" s="4" t="s">
        <v>78</v>
      </c>
      <c r="C96" s="5">
        <v>0</v>
      </c>
      <c r="D96" s="5">
        <v>1570</v>
      </c>
      <c r="E96" s="5">
        <v>0</v>
      </c>
      <c r="F96" s="5">
        <v>0</v>
      </c>
      <c r="G96" s="5">
        <v>0</v>
      </c>
      <c r="H96" s="5">
        <v>0</v>
      </c>
      <c r="I96" s="5">
        <f>500+500+250+30</f>
        <v>1280</v>
      </c>
      <c r="J96" s="5">
        <v>1300</v>
      </c>
      <c r="K96" s="5">
        <v>0</v>
      </c>
      <c r="L96" s="5">
        <v>0</v>
      </c>
      <c r="M96" s="5"/>
      <c r="N96" s="5"/>
      <c r="Q96" s="16"/>
    </row>
    <row r="97" spans="1:17" s="4" customFormat="1">
      <c r="A97" s="6" t="s">
        <v>80</v>
      </c>
      <c r="B97" s="6"/>
      <c r="C97" s="2">
        <v>19641</v>
      </c>
      <c r="D97" s="2">
        <f t="shared" ref="D97" si="42">IF(AND(D99="",D98=""),"",C97+D99-D98)</f>
        <v>24428.82</v>
      </c>
      <c r="E97" s="2">
        <f t="shared" ref="E97" si="43">IF(AND(E99="",E98=""),"",D97+E99-E98)</f>
        <v>24428.82</v>
      </c>
      <c r="F97" s="2">
        <f t="shared" ref="F97" si="44">IF(AND(F99="",F98=""),"",E97+F99-F98)</f>
        <v>24428.82</v>
      </c>
      <c r="G97" s="2">
        <f t="shared" ref="G97" si="45">IF(AND(G99="",G98=""),"",F97+G99-G98)</f>
        <v>24428.82</v>
      </c>
      <c r="H97" s="2">
        <f t="shared" ref="H97" si="46">IF(AND(H99="",H98=""),"",G97+H99-H98)</f>
        <v>24428.82</v>
      </c>
      <c r="I97" s="2">
        <f t="shared" ref="I97" si="47">IF(AND(I99="",I98=""),"",H97+I99-I98)</f>
        <v>24428.82</v>
      </c>
      <c r="J97" s="2">
        <f t="shared" ref="J97" si="48">IF(AND(J99="",J98=""),"",I97+J99-J98)</f>
        <v>24428.82</v>
      </c>
      <c r="K97" s="2">
        <f t="shared" ref="K97" si="49">IF(AND(K99="",K98=""),"",J97+K99-K98)</f>
        <v>24428.82</v>
      </c>
      <c r="L97" s="2">
        <f t="shared" ref="L97" si="50">IF(AND(L99="",L98=""),"",K97+L99-L98)</f>
        <v>24428.82</v>
      </c>
      <c r="M97" s="2" t="str">
        <f t="shared" ref="M97" si="51">IF(AND(M99="",M98=""),"",L97+M99-M98)</f>
        <v/>
      </c>
      <c r="N97" s="2" t="str">
        <f t="shared" ref="N97" si="52">IF(AND(N99="",N98=""),"",M97+N99-N98)</f>
        <v/>
      </c>
      <c r="O97" s="2" t="str">
        <f t="shared" ref="O97" si="53">IF(AND(O99="",O98=""),"",N97+O99-O98)</f>
        <v/>
      </c>
      <c r="Q97" s="16"/>
    </row>
    <row r="98" spans="1:17" s="4" customFormat="1">
      <c r="A98" s="4" t="s">
        <v>77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/>
      <c r="N98" s="5"/>
      <c r="Q98" s="16"/>
    </row>
    <row r="99" spans="1:17" s="4" customFormat="1">
      <c r="A99" s="4" t="s">
        <v>78</v>
      </c>
      <c r="C99" s="5">
        <v>0</v>
      </c>
      <c r="D99" s="5">
        <v>4787.82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/>
      <c r="N99" s="5"/>
      <c r="Q99" s="16"/>
    </row>
    <row r="100" spans="1:17" s="4" customFormat="1">
      <c r="A100" s="3" t="s">
        <v>81</v>
      </c>
      <c r="C100" s="2">
        <v>7569</v>
      </c>
      <c r="D100" s="2">
        <f t="shared" ref="D100" si="54">IF(AND(D102="",D101=""),"",C100+D102-D101)</f>
        <v>7569</v>
      </c>
      <c r="E100" s="2">
        <f t="shared" ref="E100" si="55">IF(AND(E102="",E101=""),"",D100+E102-E101)</f>
        <v>6610.07</v>
      </c>
      <c r="F100" s="2">
        <f t="shared" ref="F100" si="56">IF(AND(F102="",F101=""),"",E100+F102-F101)</f>
        <v>6610.07</v>
      </c>
      <c r="G100" s="2">
        <f t="shared" ref="G100" si="57">IF(AND(G102="",G101=""),"",F100+G102-G101)</f>
        <v>6610.07</v>
      </c>
      <c r="H100" s="2">
        <f t="shared" ref="H100" si="58">IF(AND(H102="",H101=""),"",G100+H102-H101)</f>
        <v>6610.07</v>
      </c>
      <c r="I100" s="2">
        <f t="shared" ref="I100" si="59">IF(AND(I102="",I101=""),"",H100+I102-I101)</f>
        <v>6610.07</v>
      </c>
      <c r="J100" s="2">
        <f t="shared" ref="J100" si="60">IF(AND(J102="",J101=""),"",I100+J102-J101)</f>
        <v>6610.07</v>
      </c>
      <c r="K100" s="2">
        <f t="shared" ref="K100" si="61">IF(AND(K102="",K101=""),"",J100+K102-K101)</f>
        <v>6610.07</v>
      </c>
      <c r="L100" s="2">
        <f t="shared" ref="L100" si="62">IF(AND(L102="",L101=""),"",K100+L102-L101)</f>
        <v>6610.07</v>
      </c>
      <c r="M100" s="2" t="str">
        <f t="shared" ref="M100" si="63">IF(AND(M102="",M101=""),"",L100+M102-M101)</f>
        <v/>
      </c>
      <c r="N100" s="2" t="str">
        <f t="shared" ref="N100" si="64">IF(AND(N102="",N101=""),"",M100+N102-N101)</f>
        <v/>
      </c>
      <c r="O100" s="2" t="str">
        <f t="shared" ref="O100" si="65">IF(AND(O102="",O101=""),"",N100+O102-O101)</f>
        <v/>
      </c>
      <c r="Q100" s="16"/>
    </row>
    <row r="101" spans="1:17" s="4" customFormat="1">
      <c r="A101" s="4" t="s">
        <v>77</v>
      </c>
      <c r="C101" s="5">
        <v>0</v>
      </c>
      <c r="D101" s="5">
        <v>0</v>
      </c>
      <c r="E101" s="5">
        <v>958.93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/>
      <c r="N101" s="5"/>
      <c r="Q101" s="16"/>
    </row>
    <row r="102" spans="1:17" s="4" customFormat="1">
      <c r="A102" s="4" t="s">
        <v>78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/>
      <c r="N102" s="5"/>
      <c r="Q102" s="16"/>
    </row>
    <row r="103" spans="1:17" s="4" customFormat="1">
      <c r="A103" s="3" t="s">
        <v>106</v>
      </c>
      <c r="C103" s="2">
        <v>0</v>
      </c>
      <c r="D103" s="2">
        <f t="shared" ref="D103" si="66">IF(AND(D105="",D104=""),"",C103+D105-D104)</f>
        <v>500</v>
      </c>
      <c r="E103" s="2">
        <f t="shared" ref="E103" si="67">IF(AND(E105="",E104=""),"",D103+E105-E104)</f>
        <v>500</v>
      </c>
      <c r="F103" s="2">
        <f t="shared" ref="F103" si="68">IF(AND(F105="",F104=""),"",E103+F105-F104)</f>
        <v>500</v>
      </c>
      <c r="G103" s="2">
        <f t="shared" ref="G103" si="69">IF(AND(G105="",G104=""),"",F103+G105-G104)</f>
        <v>500</v>
      </c>
      <c r="H103" s="2">
        <f t="shared" ref="H103" si="70">IF(AND(H105="",H104=""),"",G103+H105-H104)</f>
        <v>500</v>
      </c>
      <c r="I103" s="2">
        <f t="shared" ref="I103" si="71">IF(AND(I105="",I104=""),"",H103+I105-I104)</f>
        <v>500</v>
      </c>
      <c r="J103" s="2">
        <f t="shared" ref="J103" si="72">IF(AND(J105="",J104=""),"",I103+J105-J104)</f>
        <v>500</v>
      </c>
      <c r="K103" s="2">
        <f t="shared" ref="K103" si="73">IF(AND(K105="",K104=""),"",J103+K105-K104)</f>
        <v>500</v>
      </c>
      <c r="L103" s="2">
        <f t="shared" ref="L103" si="74">IF(AND(L105="",L104=""),"",K103+L105-L104)</f>
        <v>500</v>
      </c>
      <c r="M103" s="2" t="str">
        <f t="shared" ref="M103" si="75">IF(AND(M105="",M104=""),"",L103+M105-M104)</f>
        <v/>
      </c>
      <c r="N103" s="2" t="str">
        <f t="shared" ref="N103" si="76">IF(AND(N105="",N104=""),"",M103+N105-N104)</f>
        <v/>
      </c>
      <c r="O103" s="2" t="str">
        <f t="shared" ref="O103" si="77">IF(AND(O105="",O104=""),"",N103+O105-O104)</f>
        <v/>
      </c>
      <c r="P103" s="5"/>
      <c r="Q103" s="14"/>
    </row>
    <row r="104" spans="1:17" s="4" customFormat="1">
      <c r="A104" s="4" t="s">
        <v>77</v>
      </c>
      <c r="C104" s="17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/>
      <c r="N104" s="5"/>
      <c r="O104" s="5"/>
      <c r="P104" s="5"/>
      <c r="Q104" s="14"/>
    </row>
    <row r="105" spans="1:17" s="4" customFormat="1">
      <c r="A105" s="4" t="s">
        <v>78</v>
      </c>
      <c r="C105" s="10">
        <v>0</v>
      </c>
      <c r="D105" s="5">
        <v>500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/>
      <c r="N105" s="5"/>
      <c r="O105" s="5"/>
      <c r="P105" s="5"/>
      <c r="Q105" s="14"/>
    </row>
    <row r="106" spans="1:17" s="4" customFormat="1">
      <c r="A106" s="6" t="s">
        <v>12</v>
      </c>
      <c r="C106" s="2">
        <f>C91+C94+C97+C100+C103</f>
        <v>38219</v>
      </c>
      <c r="D106" s="2">
        <f t="shared" ref="D106:O106" si="78">D91+D94+D97+D100+D103</f>
        <v>45076.82</v>
      </c>
      <c r="E106" s="2">
        <f t="shared" si="78"/>
        <v>44117.89</v>
      </c>
      <c r="F106" s="2">
        <f t="shared" si="78"/>
        <v>44117.89</v>
      </c>
      <c r="G106" s="2">
        <f t="shared" si="78"/>
        <v>44117.89</v>
      </c>
      <c r="H106" s="2">
        <f t="shared" si="78"/>
        <v>43003.18</v>
      </c>
      <c r="I106" s="2">
        <f t="shared" si="78"/>
        <v>44283.18</v>
      </c>
      <c r="J106" s="2">
        <f t="shared" si="78"/>
        <v>45583.18</v>
      </c>
      <c r="K106" s="2">
        <f t="shared" si="78"/>
        <v>45583.18</v>
      </c>
      <c r="L106" s="2">
        <f t="shared" si="78"/>
        <v>45583.18</v>
      </c>
      <c r="M106" s="2" t="e">
        <f t="shared" si="78"/>
        <v>#VALUE!</v>
      </c>
      <c r="N106" s="2" t="e">
        <f t="shared" si="78"/>
        <v>#VALUE!</v>
      </c>
      <c r="O106" s="2" t="e">
        <f t="shared" si="78"/>
        <v>#VALUE!</v>
      </c>
      <c r="Q106" s="16"/>
    </row>
    <row r="107" spans="1:17" s="4" customFormat="1">
      <c r="A107" s="6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5"/>
      <c r="Q107" s="14"/>
    </row>
    <row r="108" spans="1:17" s="4" customFormat="1">
      <c r="A108" s="3" t="s">
        <v>82</v>
      </c>
      <c r="B108" s="3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5"/>
      <c r="Q108" s="14"/>
    </row>
    <row r="109" spans="1:17" s="4" customFormat="1">
      <c r="A109" s="3" t="s">
        <v>83</v>
      </c>
      <c r="B109" s="6"/>
      <c r="C109" s="2">
        <v>786</v>
      </c>
      <c r="D109" s="2">
        <f t="shared" ref="D109" si="79">IF(AND(D111="",D110=""),"",C109+D111-D110)</f>
        <v>786</v>
      </c>
      <c r="E109" s="2">
        <f t="shared" ref="E109" si="80">IF(AND(E111="",E110=""),"",D109+E111-E110)</f>
        <v>786</v>
      </c>
      <c r="F109" s="2">
        <f t="shared" ref="F109" si="81">IF(AND(F111="",F110=""),"",E109+F111-F110)</f>
        <v>786</v>
      </c>
      <c r="G109" s="2">
        <f t="shared" ref="G109" si="82">IF(AND(G111="",G110=""),"",F109+G111-G110)</f>
        <v>786</v>
      </c>
      <c r="H109" s="2">
        <f t="shared" ref="H109" si="83">IF(AND(H111="",H110=""),"",G109+H111-H110)</f>
        <v>786</v>
      </c>
      <c r="I109" s="2">
        <f t="shared" ref="I109" si="84">IF(AND(I111="",I110=""),"",H109+I111-I110)</f>
        <v>786</v>
      </c>
      <c r="J109" s="2">
        <f t="shared" ref="J109" si="85">IF(AND(J111="",J110=""),"",I109+J111-J110)</f>
        <v>786</v>
      </c>
      <c r="K109" s="2">
        <f t="shared" ref="K109" si="86">IF(AND(K111="",K110=""),"",J109+K111-K110)</f>
        <v>786</v>
      </c>
      <c r="L109" s="2">
        <f t="shared" ref="L109" si="87">IF(AND(L111="",L110=""),"",K109+L111-L110)</f>
        <v>786</v>
      </c>
      <c r="M109" s="2" t="str">
        <f t="shared" ref="M109" si="88">IF(AND(M111="",M110=""),"",L109+M111-M110)</f>
        <v/>
      </c>
      <c r="N109" s="2" t="str">
        <f t="shared" ref="N109" si="89">IF(AND(N111="",N110=""),"",M109+N111-N110)</f>
        <v/>
      </c>
      <c r="O109" s="2" t="str">
        <f t="shared" ref="O109" si="90">IF(AND(O111="",O110=""),"",N109+O111-O110)</f>
        <v/>
      </c>
      <c r="Q109" s="16"/>
    </row>
    <row r="110" spans="1:17" s="4" customFormat="1">
      <c r="A110" s="4" t="s">
        <v>77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/>
      <c r="N110" s="5"/>
      <c r="Q110" s="16"/>
    </row>
    <row r="111" spans="1:17" s="4" customFormat="1">
      <c r="A111" s="4" t="s">
        <v>78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/>
      <c r="N111" s="5"/>
      <c r="Q111" s="16"/>
    </row>
    <row r="112" spans="1:17" s="4" customFormat="1">
      <c r="A112" s="3" t="s">
        <v>84</v>
      </c>
      <c r="C112" s="2">
        <v>986</v>
      </c>
      <c r="D112" s="2">
        <f t="shared" ref="D112" si="91">IF(AND(D114="",D113=""),"",C112+D114-D113)</f>
        <v>986</v>
      </c>
      <c r="E112" s="2">
        <f t="shared" ref="E112" si="92">IF(AND(E114="",E113=""),"",D112+E114-E113)</f>
        <v>986</v>
      </c>
      <c r="F112" s="2">
        <f t="shared" ref="F112" si="93">IF(AND(F114="",F113=""),"",E112+F114-F113)</f>
        <v>986</v>
      </c>
      <c r="G112" s="2">
        <f t="shared" ref="G112" si="94">IF(AND(G114="",G113=""),"",F112+G114-G113)</f>
        <v>986</v>
      </c>
      <c r="H112" s="2">
        <f t="shared" ref="H112" si="95">IF(AND(H114="",H113=""),"",G112+H114-H113)</f>
        <v>986</v>
      </c>
      <c r="I112" s="2">
        <f t="shared" ref="I112" si="96">IF(AND(I114="",I113=""),"",H112+I114-I113)</f>
        <v>986</v>
      </c>
      <c r="J112" s="2">
        <f t="shared" ref="J112" si="97">IF(AND(J114="",J113=""),"",I112+J114-J113)</f>
        <v>986</v>
      </c>
      <c r="K112" s="2">
        <f t="shared" ref="K112" si="98">IF(AND(K114="",K113=""),"",J112+K114-K113)</f>
        <v>986</v>
      </c>
      <c r="L112" s="2">
        <f t="shared" ref="L112" si="99">IF(AND(L114="",L113=""),"",K112+L114-L113)</f>
        <v>986</v>
      </c>
      <c r="M112" s="2" t="str">
        <f t="shared" ref="M112" si="100">IF(AND(M114="",M113=""),"",L112+M114-M113)</f>
        <v/>
      </c>
      <c r="N112" s="2" t="str">
        <f t="shared" ref="N112" si="101">IF(AND(N114="",N113=""),"",M112+N114-N113)</f>
        <v/>
      </c>
      <c r="O112" s="2" t="str">
        <f t="shared" ref="O112" si="102">IF(AND(O114="",O113=""),"",N112+O114-O113)</f>
        <v/>
      </c>
      <c r="Q112" s="16"/>
    </row>
    <row r="113" spans="1:17" s="4" customFormat="1">
      <c r="A113" s="4" t="s">
        <v>77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/>
      <c r="N113" s="5"/>
      <c r="Q113" s="16"/>
    </row>
    <row r="114" spans="1:17" s="4" customFormat="1">
      <c r="A114" s="4" t="s">
        <v>78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/>
      <c r="N114" s="5"/>
      <c r="Q114" s="16"/>
    </row>
    <row r="115" spans="1:17" s="3" customFormat="1">
      <c r="A115" s="3" t="s">
        <v>103</v>
      </c>
      <c r="C115" s="2">
        <v>71</v>
      </c>
      <c r="D115" s="2">
        <f t="shared" ref="D115" si="103">IF(AND(D117="",D116=""),"",C115+D117-D116)</f>
        <v>71</v>
      </c>
      <c r="E115" s="2">
        <f t="shared" ref="E115" si="104">IF(AND(E117="",E116=""),"",D115+E117-E116)</f>
        <v>71</v>
      </c>
      <c r="F115" s="2">
        <f t="shared" ref="F115" si="105">IF(AND(F117="",F116=""),"",E115+F117-F116)</f>
        <v>71</v>
      </c>
      <c r="G115" s="2">
        <f t="shared" ref="G115" si="106">IF(AND(G117="",G116=""),"",F115+G117-G116)</f>
        <v>71</v>
      </c>
      <c r="H115" s="2">
        <f t="shared" ref="H115" si="107">IF(AND(H117="",H116=""),"",G115+H117-H116)</f>
        <v>71</v>
      </c>
      <c r="I115" s="2">
        <f t="shared" ref="I115" si="108">IF(AND(I117="",I116=""),"",H115+I117-I116)</f>
        <v>71</v>
      </c>
      <c r="J115" s="2">
        <f t="shared" ref="J115" si="109">IF(AND(J117="",J116=""),"",I115+J117-J116)</f>
        <v>71</v>
      </c>
      <c r="K115" s="2">
        <f t="shared" ref="K115" si="110">IF(AND(K117="",K116=""),"",J115+K117-K116)</f>
        <v>71</v>
      </c>
      <c r="L115" s="2">
        <f t="shared" ref="L115" si="111">IF(AND(L117="",L116=""),"",K115+L117-L116)</f>
        <v>71</v>
      </c>
      <c r="M115" s="2" t="str">
        <f t="shared" ref="M115" si="112">IF(AND(M117="",M116=""),"",L115+M117-M116)</f>
        <v/>
      </c>
      <c r="N115" s="2" t="str">
        <f t="shared" ref="N115" si="113">IF(AND(N117="",N116=""),"",M115+N117-N116)</f>
        <v/>
      </c>
      <c r="O115" s="2" t="str">
        <f t="shared" ref="O115" si="114">IF(AND(O117="",O116=""),"",N115+O117-O116)</f>
        <v/>
      </c>
      <c r="Q115" s="15"/>
    </row>
    <row r="116" spans="1:17" s="4" customFormat="1">
      <c r="A116" s="9" t="s">
        <v>85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/>
      <c r="N116" s="5"/>
      <c r="Q116" s="16"/>
    </row>
    <row r="117" spans="1:17" s="4" customFormat="1">
      <c r="A117" s="9" t="s">
        <v>86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/>
      <c r="N117" s="5"/>
      <c r="Q117" s="16"/>
    </row>
    <row r="118" spans="1:17" s="3" customFormat="1">
      <c r="A118" s="3" t="s">
        <v>87</v>
      </c>
      <c r="C118" s="2">
        <v>1528</v>
      </c>
      <c r="D118" s="2">
        <f t="shared" ref="D118" si="115">IF(AND(D120="",D119=""),"",C118+D120-D119)</f>
        <v>1321.03</v>
      </c>
      <c r="E118" s="2">
        <f t="shared" ref="E118" si="116">IF(AND(E120="",E119=""),"",D118+E120-E119)</f>
        <v>558.53</v>
      </c>
      <c r="F118" s="2">
        <f t="shared" ref="F118" si="117">IF(AND(F120="",F119=""),"",E118+F120-F119)</f>
        <v>558.53</v>
      </c>
      <c r="G118" s="2">
        <f t="shared" ref="G118" si="118">IF(AND(G120="",G119=""),"",F118+G120-G119)</f>
        <v>558.53</v>
      </c>
      <c r="H118" s="2">
        <f t="shared" ref="H118" si="119">IF(AND(H120="",H119=""),"",G118+H120-H119)</f>
        <v>558.53</v>
      </c>
      <c r="I118" s="2">
        <f t="shared" ref="I118" si="120">IF(AND(I120="",I119=""),"",H118+I120-I119)</f>
        <v>558.53</v>
      </c>
      <c r="J118" s="2">
        <f t="shared" ref="J118" si="121">IF(AND(J120="",J119=""),"",I118+J120-J119)</f>
        <v>558.53</v>
      </c>
      <c r="K118" s="2">
        <f t="shared" ref="K118" si="122">IF(AND(K120="",K119=""),"",J118+K120-K119)</f>
        <v>558.53</v>
      </c>
      <c r="L118" s="2">
        <f t="shared" ref="L118" si="123">IF(AND(L120="",L119=""),"",K118+L120-L119)</f>
        <v>558.53</v>
      </c>
      <c r="M118" s="2" t="str">
        <f t="shared" ref="M118" si="124">IF(AND(M120="",M119=""),"",L118+M120-M119)</f>
        <v/>
      </c>
      <c r="N118" s="2" t="str">
        <f t="shared" ref="N118" si="125">IF(AND(N120="",N119=""),"",M118+N120-N119)</f>
        <v/>
      </c>
      <c r="O118" s="2" t="str">
        <f t="shared" ref="O118" si="126">IF(AND(O120="",O119=""),"",N118+O120-O119)</f>
        <v/>
      </c>
      <c r="Q118" s="15"/>
    </row>
    <row r="119" spans="1:17" s="4" customFormat="1">
      <c r="A119" s="9" t="s">
        <v>85</v>
      </c>
      <c r="C119" s="5">
        <v>0</v>
      </c>
      <c r="D119" s="5">
        <v>206.97</v>
      </c>
      <c r="E119" s="5">
        <v>762.5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/>
      <c r="N119" s="5"/>
      <c r="Q119" s="16"/>
    </row>
    <row r="120" spans="1:17" s="4" customFormat="1">
      <c r="A120" s="9" t="s">
        <v>86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/>
      <c r="N120" s="5"/>
      <c r="Q120" s="16"/>
    </row>
    <row r="121" spans="1:17" s="4" customFormat="1">
      <c r="A121" s="3" t="s">
        <v>88</v>
      </c>
      <c r="C121" s="2">
        <v>2844</v>
      </c>
      <c r="D121" s="2">
        <f t="shared" ref="D121" si="127">IF(AND(D123="",D122=""),"",C121+D123-D122)</f>
        <v>2506.5700000000002</v>
      </c>
      <c r="E121" s="2">
        <f t="shared" ref="E121" si="128">IF(AND(E123="",E122=""),"",D121+E123-E122)</f>
        <v>2506.5700000000002</v>
      </c>
      <c r="F121" s="2">
        <f t="shared" ref="F121" si="129">IF(AND(F123="",F122=""),"",E121+F123-F122)</f>
        <v>2506.5700000000002</v>
      </c>
      <c r="G121" s="2">
        <f t="shared" ref="G121" si="130">IF(AND(G123="",G122=""),"",F121+G123-G122)</f>
        <v>2506.5700000000002</v>
      </c>
      <c r="H121" s="2">
        <f t="shared" ref="H121" si="131">IF(AND(H123="",H122=""),"",G121+H123-H122)</f>
        <v>2606.5700000000002</v>
      </c>
      <c r="I121" s="2">
        <f t="shared" ref="I121" si="132">IF(AND(I123="",I122=""),"",H121+I123-I122)</f>
        <v>2606.5700000000002</v>
      </c>
      <c r="J121" s="2">
        <f t="shared" ref="J121" si="133">IF(AND(J123="",J122=""),"",I121+J123-J122)</f>
        <v>2606.5700000000002</v>
      </c>
      <c r="K121" s="2">
        <f t="shared" ref="K121" si="134">IF(AND(K123="",K122=""),"",J121+K123-K122)</f>
        <v>2606.5700000000002</v>
      </c>
      <c r="L121" s="2">
        <f t="shared" ref="L121" si="135">IF(AND(L123="",L122=""),"",K121+L123-L122)</f>
        <v>2606.5700000000002</v>
      </c>
      <c r="M121" s="2" t="str">
        <f t="shared" ref="M121" si="136">IF(AND(M123="",M122=""),"",L121+M123-M122)</f>
        <v/>
      </c>
      <c r="N121" s="2" t="str">
        <f t="shared" ref="N121" si="137">IF(AND(N123="",N122=""),"",M121+N123-N122)</f>
        <v/>
      </c>
      <c r="O121" s="2" t="str">
        <f t="shared" ref="O121" si="138">IF(AND(O123="",O122=""),"",N121+O123-O122)</f>
        <v/>
      </c>
      <c r="Q121" s="16"/>
    </row>
    <row r="122" spans="1:17" s="4" customFormat="1">
      <c r="A122" s="4" t="s">
        <v>77</v>
      </c>
      <c r="C122" s="5">
        <v>0</v>
      </c>
      <c r="D122" s="5">
        <v>337.43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/>
      <c r="N122" s="5"/>
      <c r="Q122" s="16"/>
    </row>
    <row r="123" spans="1:17" s="4" customFormat="1">
      <c r="A123" s="4" t="s">
        <v>78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100</v>
      </c>
      <c r="I123" s="5">
        <v>0</v>
      </c>
      <c r="J123" s="5">
        <v>0</v>
      </c>
      <c r="K123" s="5">
        <v>0</v>
      </c>
      <c r="L123" s="5">
        <v>0</v>
      </c>
      <c r="M123" s="5"/>
      <c r="N123" s="5"/>
      <c r="Q123" s="16"/>
    </row>
    <row r="124" spans="1:17" s="4" customFormat="1">
      <c r="A124" s="3" t="s">
        <v>89</v>
      </c>
      <c r="C124" s="2">
        <v>224</v>
      </c>
      <c r="D124" s="2">
        <f t="shared" ref="D124" si="139">IF(AND(D126="",D125=""),"",C124+D126-D125)</f>
        <v>224</v>
      </c>
      <c r="E124" s="2">
        <f t="shared" ref="E124" si="140">IF(AND(E126="",E125=""),"",D124+E126-E125)</f>
        <v>224</v>
      </c>
      <c r="F124" s="2">
        <f t="shared" ref="F124" si="141">IF(AND(F126="",F125=""),"",E124+F126-F125)</f>
        <v>224</v>
      </c>
      <c r="G124" s="2">
        <f t="shared" ref="G124" si="142">IF(AND(G126="",G125=""),"",F124+G126-G125)</f>
        <v>224</v>
      </c>
      <c r="H124" s="2">
        <f t="shared" ref="H124" si="143">IF(AND(H126="",H125=""),"",G124+H126-H125)</f>
        <v>224</v>
      </c>
      <c r="I124" s="2">
        <f t="shared" ref="I124" si="144">IF(AND(I126="",I125=""),"",H124+I126-I125)</f>
        <v>224</v>
      </c>
      <c r="J124" s="2">
        <f t="shared" ref="J124" si="145">IF(AND(J126="",J125=""),"",I124+J126-J125)</f>
        <v>224</v>
      </c>
      <c r="K124" s="2">
        <f>IF(AND(K126="",K125=""),"",J124+K126-K125)</f>
        <v>24</v>
      </c>
      <c r="L124" s="2">
        <f t="shared" ref="L124" si="146">IF(AND(L126="",L125=""),"",K124+L126-L125)</f>
        <v>24</v>
      </c>
      <c r="M124" s="2" t="str">
        <f t="shared" ref="M124" si="147">IF(AND(M126="",M125=""),"",L124+M126-M125)</f>
        <v/>
      </c>
      <c r="N124" s="2" t="str">
        <f t="shared" ref="N124" si="148">IF(AND(N126="",N125=""),"",M124+N126-N125)</f>
        <v/>
      </c>
      <c r="O124" s="2" t="str">
        <f t="shared" ref="O124" si="149">IF(AND(O126="",O125=""),"",N124+O126-O125)</f>
        <v/>
      </c>
      <c r="Q124" s="16"/>
    </row>
    <row r="125" spans="1:17" s="4" customFormat="1">
      <c r="A125" s="4" t="s">
        <v>77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200</v>
      </c>
      <c r="L125" s="5">
        <v>0</v>
      </c>
      <c r="M125" s="5"/>
      <c r="N125" s="5"/>
      <c r="Q125" s="16"/>
    </row>
    <row r="126" spans="1:17" s="4" customFormat="1">
      <c r="A126" s="4" t="s">
        <v>78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/>
      <c r="N126" s="5"/>
      <c r="Q126" s="16"/>
    </row>
    <row r="127" spans="1:17" s="3" customFormat="1">
      <c r="A127" s="3" t="s">
        <v>91</v>
      </c>
      <c r="C127" s="2">
        <v>1089</v>
      </c>
      <c r="D127" s="2">
        <f t="shared" ref="D127" si="150">IF(AND(D129="",D128=""),"",C127+D129-D128)</f>
        <v>1089</v>
      </c>
      <c r="E127" s="2">
        <f t="shared" ref="E127" si="151">IF(AND(E129="",E128=""),"",D127+E129-E128)</f>
        <v>1089</v>
      </c>
      <c r="F127" s="2">
        <f t="shared" ref="F127" si="152">IF(AND(F129="",F128=""),"",E127+F129-F128)</f>
        <v>1089</v>
      </c>
      <c r="G127" s="2">
        <f t="shared" ref="G127" si="153">IF(AND(G129="",G128=""),"",F127+G129-G128)</f>
        <v>1089</v>
      </c>
      <c r="H127" s="2">
        <f t="shared" ref="H127" si="154">IF(AND(H129="",H128=""),"",G127+H129-H128)</f>
        <v>1089</v>
      </c>
      <c r="I127" s="2">
        <f t="shared" ref="I127" si="155">IF(AND(I129="",I128=""),"",H127+I129-I128)</f>
        <v>1089</v>
      </c>
      <c r="J127" s="2">
        <f t="shared" ref="J127" si="156">IF(AND(J129="",J128=""),"",I127+J129-J128)</f>
        <v>1209</v>
      </c>
      <c r="K127" s="2">
        <f t="shared" ref="K127" si="157">IF(AND(K129="",K128=""),"",J127+K129-K128)</f>
        <v>1209</v>
      </c>
      <c r="L127" s="2">
        <f t="shared" ref="L127" si="158">IF(AND(L129="",L128=""),"",K127+L129-L128)</f>
        <v>1209</v>
      </c>
      <c r="M127" s="2" t="str">
        <f t="shared" ref="M127" si="159">IF(AND(M129="",M128=""),"",L127+M129-M128)</f>
        <v/>
      </c>
      <c r="N127" s="2" t="str">
        <f t="shared" ref="N127" si="160">IF(AND(N129="",N128=""),"",M127+N129-N128)</f>
        <v/>
      </c>
      <c r="O127" s="2" t="str">
        <f t="shared" ref="O127" si="161">IF(AND(O129="",O128=""),"",N127+O129-O128)</f>
        <v/>
      </c>
      <c r="Q127" s="15"/>
    </row>
    <row r="128" spans="1:17" s="4" customFormat="1">
      <c r="A128" s="4" t="s">
        <v>77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/>
      <c r="N128" s="5"/>
      <c r="Q128" s="16"/>
    </row>
    <row r="129" spans="1:17" s="4" customFormat="1">
      <c r="A129" s="4" t="s">
        <v>78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120</v>
      </c>
      <c r="K129" s="5">
        <v>0</v>
      </c>
      <c r="L129" s="5">
        <v>0</v>
      </c>
      <c r="M129" s="5"/>
      <c r="N129" s="5"/>
      <c r="Q129" s="16"/>
    </row>
    <row r="130" spans="1:17" s="3" customFormat="1">
      <c r="A130" s="3" t="s">
        <v>92</v>
      </c>
      <c r="C130" s="2">
        <v>1437</v>
      </c>
      <c r="D130" s="2">
        <f t="shared" ref="D130" si="162">IF(AND(D132="",D131=""),"",C130+D132-D131)</f>
        <v>0</v>
      </c>
      <c r="E130" s="2">
        <f t="shared" ref="E130" si="163">IF(AND(E132="",E131=""),"",D130+E132-E131)</f>
        <v>0</v>
      </c>
      <c r="F130" s="2">
        <f t="shared" ref="F130" si="164">IF(AND(F132="",F131=""),"",E130+F132-F131)</f>
        <v>0</v>
      </c>
      <c r="G130" s="2">
        <f t="shared" ref="G130" si="165">IF(AND(G132="",G131=""),"",F130+G132-G131)</f>
        <v>0</v>
      </c>
      <c r="H130" s="2">
        <f t="shared" ref="H130" si="166">IF(AND(H132="",H131=""),"",G130+H132-H131)</f>
        <v>0</v>
      </c>
      <c r="I130" s="2">
        <f t="shared" ref="I130" si="167">IF(AND(I132="",I131=""),"",H130+I132-I131)</f>
        <v>0</v>
      </c>
      <c r="J130" s="2">
        <f t="shared" ref="J130" si="168">IF(AND(J132="",J131=""),"",I130+J132-J131)</f>
        <v>1174.5</v>
      </c>
      <c r="K130" s="2">
        <f t="shared" ref="K130" si="169">IF(AND(K132="",K131=""),"",J130+K132-K131)</f>
        <v>1174.5</v>
      </c>
      <c r="L130" s="2">
        <f t="shared" ref="L130" si="170">IF(AND(L132="",L131=""),"",K130+L132-L131)</f>
        <v>1174.5</v>
      </c>
      <c r="M130" s="2" t="str">
        <f t="shared" ref="M130" si="171">IF(AND(M132="",M131=""),"",L130+M132-M131)</f>
        <v/>
      </c>
      <c r="N130" s="2" t="str">
        <f t="shared" ref="N130" si="172">IF(AND(N132="",N131=""),"",M130+N132-N131)</f>
        <v/>
      </c>
      <c r="O130" s="2" t="str">
        <f t="shared" ref="O130" si="173">IF(AND(O132="",O131=""),"",N130+O132-O131)</f>
        <v/>
      </c>
      <c r="Q130" s="15"/>
    </row>
    <row r="131" spans="1:17" s="4" customFormat="1">
      <c r="A131" s="4" t="s">
        <v>77</v>
      </c>
      <c r="C131" s="5">
        <v>0</v>
      </c>
      <c r="D131" s="5">
        <v>1437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/>
      <c r="N131" s="5"/>
      <c r="Q131" s="16"/>
    </row>
    <row r="132" spans="1:17" s="4" customFormat="1">
      <c r="A132" s="4" t="s">
        <v>78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1174.5</v>
      </c>
      <c r="K132" s="5">
        <v>0</v>
      </c>
      <c r="L132" s="5">
        <v>0</v>
      </c>
      <c r="M132" s="5"/>
      <c r="N132" s="5"/>
      <c r="Q132" s="16"/>
    </row>
    <row r="133" spans="1:17" s="4" customFormat="1">
      <c r="A133" s="3" t="s">
        <v>93</v>
      </c>
      <c r="B133" s="3"/>
      <c r="C133" s="2">
        <v>456</v>
      </c>
      <c r="D133" s="2">
        <f t="shared" ref="D133" si="174">IF(AND(D135="",D134=""),"",C133+D135-D134)</f>
        <v>456</v>
      </c>
      <c r="E133" s="2">
        <f t="shared" ref="E133" si="175">IF(AND(E135="",E134=""),"",D133+E135-E134)</f>
        <v>456</v>
      </c>
      <c r="F133" s="2">
        <f t="shared" ref="F133" si="176">IF(AND(F135="",F134=""),"",E133+F135-F134)</f>
        <v>456</v>
      </c>
      <c r="G133" s="2">
        <f t="shared" ref="G133" si="177">IF(AND(G135="",G134=""),"",F133+G135-G134)</f>
        <v>456</v>
      </c>
      <c r="H133" s="2">
        <f t="shared" ref="H133" si="178">IF(AND(H135="",H134=""),"",G133+H135-H134)</f>
        <v>581</v>
      </c>
      <c r="I133" s="2">
        <f t="shared" ref="I133" si="179">IF(AND(I135="",I134=""),"",H133+I135-I134)</f>
        <v>581</v>
      </c>
      <c r="J133" s="2">
        <f t="shared" ref="J133" si="180">IF(AND(J135="",J134=""),"",I133+J135-J134)</f>
        <v>581</v>
      </c>
      <c r="K133" s="2">
        <f t="shared" ref="K133" si="181">IF(AND(K135="",K134=""),"",J133+K135-K134)</f>
        <v>581</v>
      </c>
      <c r="L133" s="2">
        <f t="shared" ref="L133" si="182">IF(AND(L135="",L134=""),"",K133+L135-L134)</f>
        <v>581</v>
      </c>
      <c r="M133" s="2" t="str">
        <f t="shared" ref="M133" si="183">IF(AND(M135="",M134=""),"",L133+M135-M134)</f>
        <v/>
      </c>
      <c r="N133" s="2" t="str">
        <f t="shared" ref="N133" si="184">IF(AND(N135="",N134=""),"",M133+N135-N134)</f>
        <v/>
      </c>
      <c r="O133" s="2" t="str">
        <f t="shared" ref="O133" si="185">IF(AND(O135="",O134=""),"",N133+O135-O134)</f>
        <v/>
      </c>
      <c r="Q133" s="16"/>
    </row>
    <row r="134" spans="1:17" s="4" customFormat="1">
      <c r="A134" s="4" t="s">
        <v>77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/>
      <c r="N134" s="5"/>
      <c r="Q134" s="16"/>
    </row>
    <row r="135" spans="1:17" s="4" customFormat="1">
      <c r="A135" s="4" t="s">
        <v>78</v>
      </c>
      <c r="C135" s="5">
        <v>0</v>
      </c>
      <c r="D135" s="5">
        <v>0</v>
      </c>
      <c r="E135" s="5">
        <v>0</v>
      </c>
      <c r="F135" s="5">
        <v>0</v>
      </c>
      <c r="G135" s="5"/>
      <c r="H135" s="5">
        <v>125</v>
      </c>
      <c r="I135" s="5">
        <v>0</v>
      </c>
      <c r="J135" s="5">
        <v>0</v>
      </c>
      <c r="K135" s="5">
        <v>0</v>
      </c>
      <c r="L135" s="5">
        <v>0</v>
      </c>
      <c r="M135" s="5"/>
      <c r="N135" s="5"/>
      <c r="Q135" s="16"/>
    </row>
    <row r="136" spans="1:17" s="4" customFormat="1">
      <c r="A136" s="3" t="s">
        <v>94</v>
      </c>
      <c r="B136" s="3"/>
      <c r="C136" s="2">
        <v>9421</v>
      </c>
      <c r="D136" s="2">
        <f>IF(OR(D109="",D112="",D115="",D118="",D121="",D124="",D127="",D130="",D133=""),"",D109+D112+D115+D118+D121+D124+D127+D130+D133)</f>
        <v>7439.6</v>
      </c>
      <c r="E136" s="2">
        <f t="shared" ref="E136:O136" si="186">IF(OR(E109="",E112="",E115="",E118="",E121="",E124="",E127="",E130="",E133=""),"",E109+E112+E115+E118+E121+E124+E127+E130+E133)</f>
        <v>6677.1</v>
      </c>
      <c r="F136" s="2">
        <f t="shared" si="186"/>
        <v>6677.1</v>
      </c>
      <c r="G136" s="2">
        <f t="shared" si="186"/>
        <v>6677.1</v>
      </c>
      <c r="H136" s="2">
        <f t="shared" si="186"/>
        <v>6902.1</v>
      </c>
      <c r="I136" s="2">
        <f t="shared" si="186"/>
        <v>6902.1</v>
      </c>
      <c r="J136" s="2">
        <f t="shared" si="186"/>
        <v>8196.6</v>
      </c>
      <c r="K136" s="2">
        <f t="shared" si="186"/>
        <v>7996.6</v>
      </c>
      <c r="L136" s="2">
        <f t="shared" si="186"/>
        <v>7996.6</v>
      </c>
      <c r="M136" s="2" t="str">
        <f t="shared" si="186"/>
        <v/>
      </c>
      <c r="N136" s="2" t="str">
        <f t="shared" si="186"/>
        <v/>
      </c>
      <c r="O136" s="2" t="str">
        <f t="shared" si="186"/>
        <v/>
      </c>
      <c r="Q136" s="16"/>
    </row>
    <row r="137" spans="1:17" s="4" customFormat="1">
      <c r="A137" s="3"/>
      <c r="B137" s="3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5"/>
      <c r="Q137" s="14"/>
    </row>
    <row r="138" spans="1:17" s="4" customFormat="1">
      <c r="A138" s="3" t="s">
        <v>95</v>
      </c>
      <c r="B138" s="3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14"/>
    </row>
    <row r="139" spans="1:17" s="4" customFormat="1">
      <c r="C139" s="2" t="s">
        <v>11</v>
      </c>
      <c r="D139" s="2" t="s">
        <v>0</v>
      </c>
      <c r="E139" s="2" t="s">
        <v>1</v>
      </c>
      <c r="F139" s="2" t="s">
        <v>2</v>
      </c>
      <c r="G139" s="2" t="s">
        <v>3</v>
      </c>
      <c r="H139" s="2" t="s">
        <v>4</v>
      </c>
      <c r="I139" s="2" t="s">
        <v>5</v>
      </c>
      <c r="J139" s="2" t="s">
        <v>6</v>
      </c>
      <c r="K139" s="2" t="s">
        <v>7</v>
      </c>
      <c r="L139" s="2" t="s">
        <v>8</v>
      </c>
      <c r="M139" s="2" t="s">
        <v>9</v>
      </c>
      <c r="N139" s="2" t="s">
        <v>10</v>
      </c>
      <c r="O139" s="2" t="s">
        <v>11</v>
      </c>
      <c r="P139" s="5"/>
      <c r="Q139" s="14"/>
    </row>
    <row r="140" spans="1:17" s="4" customFormat="1">
      <c r="A140" s="3" t="s">
        <v>96</v>
      </c>
      <c r="C140" s="2">
        <v>380</v>
      </c>
      <c r="D140" s="2">
        <f t="shared" ref="D140" si="187">IF(AND(D142="",D142=""),"",C140+D142-D141)</f>
        <v>380</v>
      </c>
      <c r="E140" s="2">
        <f t="shared" ref="E140" si="188">IF(AND(E142="",E142=""),"",D140+E142-E141)</f>
        <v>380</v>
      </c>
      <c r="F140" s="2">
        <f t="shared" ref="F140" si="189">IF(AND(F142="",F142=""),"",E140+F142-F141)</f>
        <v>380</v>
      </c>
      <c r="G140" s="2">
        <f t="shared" ref="G140" si="190">IF(AND(G142="",G142=""),"",F140+G142-G141)</f>
        <v>380</v>
      </c>
      <c r="H140" s="2">
        <f t="shared" ref="H140" si="191">IF(AND(H142="",H142=""),"",G140+H142-H141)</f>
        <v>380</v>
      </c>
      <c r="I140" s="2">
        <f t="shared" ref="I140" si="192">IF(AND(I142="",I142=""),"",H140+I142-I141)</f>
        <v>735</v>
      </c>
      <c r="J140" s="2">
        <f t="shared" ref="J140" si="193">IF(AND(J142="",J142=""),"",I140+J142-J141)</f>
        <v>735</v>
      </c>
      <c r="K140" s="2">
        <f t="shared" ref="K140" si="194">IF(AND(K142="",K142=""),"",J140+K142-K141)</f>
        <v>735</v>
      </c>
      <c r="L140" s="2">
        <f t="shared" ref="L140" si="195">IF(AND(L142="",L142=""),"",K140+L142-L141)</f>
        <v>1307</v>
      </c>
      <c r="M140" s="2" t="str">
        <f t="shared" ref="M140" si="196">IF(AND(M142="",M142=""),"",L140+M142-M141)</f>
        <v/>
      </c>
      <c r="N140" s="2" t="str">
        <f t="shared" ref="N140" si="197">IF(AND(N142="",N142=""),"",M140+N142-N141)</f>
        <v/>
      </c>
      <c r="O140" s="2" t="str">
        <f t="shared" ref="O140" si="198">IF(AND(O142="",O142=""),"",N140+O142-O141)</f>
        <v/>
      </c>
      <c r="Q140" s="16"/>
    </row>
    <row r="141" spans="1:17" s="4" customFormat="1">
      <c r="A141" s="4" t="s">
        <v>77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/>
      <c r="N141" s="5"/>
      <c r="Q141" s="16"/>
    </row>
    <row r="142" spans="1:17" s="4" customFormat="1">
      <c r="A142" s="4" t="s">
        <v>78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355</v>
      </c>
      <c r="J142" s="5">
        <v>0</v>
      </c>
      <c r="K142" s="5">
        <v>0</v>
      </c>
      <c r="L142" s="5">
        <v>572</v>
      </c>
      <c r="M142" s="5"/>
      <c r="N142" s="5"/>
      <c r="Q142" s="16"/>
    </row>
    <row r="143" spans="1:17" s="4" customFormat="1">
      <c r="A143" s="3" t="s">
        <v>97</v>
      </c>
      <c r="C143" s="2">
        <v>2893</v>
      </c>
      <c r="D143" s="2">
        <f t="shared" ref="D143" si="199">IF(AND(D145="",D145=""),"",C143+D145-D144)</f>
        <v>2825</v>
      </c>
      <c r="E143" s="2">
        <f t="shared" ref="E143" si="200">IF(AND(E145="",E145=""),"",D143+E145-E144)</f>
        <v>3647.68</v>
      </c>
      <c r="F143" s="2">
        <f t="shared" ref="F143" si="201">IF(AND(F145="",F145=""),"",E143+F145-F144)</f>
        <v>3647.68</v>
      </c>
      <c r="G143" s="2">
        <f t="shared" ref="G143" si="202">IF(AND(G145="",G145=""),"",F143+G145-G144)</f>
        <v>3747.68</v>
      </c>
      <c r="H143" s="2">
        <f t="shared" ref="H143" si="203">IF(AND(H145="",H145=""),"",G143+H145-H144)</f>
        <v>3529.83</v>
      </c>
      <c r="I143" s="2">
        <f t="shared" ref="I143" si="204">IF(AND(I145="",I145=""),"",H143+I145-I144)</f>
        <v>3529.83</v>
      </c>
      <c r="J143" s="2">
        <f t="shared" ref="J143" si="205">IF(AND(J145="",J145=""),"",I143+J145-J144)</f>
        <v>3529.83</v>
      </c>
      <c r="K143" s="2">
        <f t="shared" ref="K143" si="206">IF(AND(K145="",K145=""),"",J143+K145-K144)</f>
        <v>3365.2599999999998</v>
      </c>
      <c r="L143" s="2">
        <f t="shared" ref="L143" si="207">IF(AND(L145="",L145=""),"",K143+L145-L144)</f>
        <v>3365.2599999999998</v>
      </c>
      <c r="M143" s="2" t="str">
        <f t="shared" ref="M143" si="208">IF(AND(M145="",M145=""),"",L143+M145-M144)</f>
        <v/>
      </c>
      <c r="N143" s="2" t="str">
        <f t="shared" ref="N143" si="209">IF(AND(N145="",N145=""),"",M143+N145-N144)</f>
        <v/>
      </c>
      <c r="O143" s="2" t="str">
        <f t="shared" ref="O143" si="210">IF(AND(O145="",O145=""),"",N143+O145-O144)</f>
        <v/>
      </c>
      <c r="Q143" s="16"/>
    </row>
    <row r="144" spans="1:17" s="4" customFormat="1">
      <c r="A144" s="4" t="s">
        <v>77</v>
      </c>
      <c r="C144" s="5">
        <v>0</v>
      </c>
      <c r="D144" s="5">
        <v>68</v>
      </c>
      <c r="E144" s="5">
        <v>177.32</v>
      </c>
      <c r="F144" s="5">
        <v>0</v>
      </c>
      <c r="G144" s="5">
        <v>0</v>
      </c>
      <c r="H144" s="5">
        <v>265.91000000000003</v>
      </c>
      <c r="I144" s="5">
        <v>0</v>
      </c>
      <c r="J144" s="5">
        <v>0</v>
      </c>
      <c r="K144" s="5">
        <v>164.57</v>
      </c>
      <c r="L144" s="5">
        <v>0</v>
      </c>
      <c r="M144" s="5"/>
      <c r="N144" s="5"/>
      <c r="Q144" s="16"/>
    </row>
    <row r="145" spans="1:17" s="4" customFormat="1">
      <c r="A145" s="4" t="s">
        <v>78</v>
      </c>
      <c r="C145" s="5">
        <v>0</v>
      </c>
      <c r="D145" s="5">
        <v>0</v>
      </c>
      <c r="E145" s="5">
        <v>1000</v>
      </c>
      <c r="F145" s="5">
        <v>0</v>
      </c>
      <c r="G145" s="5">
        <v>100</v>
      </c>
      <c r="H145" s="5">
        <v>48.06</v>
      </c>
      <c r="I145" s="5">
        <v>0</v>
      </c>
      <c r="J145" s="5">
        <v>0</v>
      </c>
      <c r="K145" s="5">
        <v>0</v>
      </c>
      <c r="L145" s="5">
        <v>0</v>
      </c>
      <c r="M145" s="5"/>
      <c r="N145" s="5"/>
      <c r="Q145" s="16"/>
    </row>
    <row r="146" spans="1:17" s="4" customFormat="1">
      <c r="A146" s="3" t="s">
        <v>98</v>
      </c>
      <c r="C146" s="2">
        <v>2572</v>
      </c>
      <c r="D146" s="2">
        <f t="shared" ref="D146" si="211">IF(AND(D148="",D148=""),"",C146+D148-D147)</f>
        <v>2572</v>
      </c>
      <c r="E146" s="2">
        <f t="shared" ref="E146" si="212">IF(AND(E148="",E148=""),"",D146+E148-E147)</f>
        <v>2572</v>
      </c>
      <c r="F146" s="2">
        <f t="shared" ref="F146" si="213">IF(AND(F148="",F148=""),"",E146+F148-F147)</f>
        <v>2572</v>
      </c>
      <c r="G146" s="2">
        <f t="shared" ref="G146" si="214">IF(AND(G148="",G148=""),"",F146+G148-G147)</f>
        <v>2572</v>
      </c>
      <c r="H146" s="2">
        <f t="shared" ref="H146" si="215">IF(AND(H148="",H148=""),"",G146+H148-H147)</f>
        <v>2572</v>
      </c>
      <c r="I146" s="2">
        <f t="shared" ref="I146" si="216">IF(AND(I148="",I148=""),"",H146+I148-I147)</f>
        <v>2622</v>
      </c>
      <c r="J146" s="2">
        <f t="shared" ref="J146" si="217">IF(AND(J148="",J148=""),"",I146+J148-J147)</f>
        <v>2622</v>
      </c>
      <c r="K146" s="2">
        <f t="shared" ref="K146" si="218">IF(AND(K148="",K148=""),"",J146+K148-K147)</f>
        <v>2672</v>
      </c>
      <c r="L146" s="2">
        <v>2672</v>
      </c>
      <c r="M146" s="2" t="str">
        <f t="shared" ref="M146" si="219">IF(AND(M148="",M148=""),"",L146+M148-M147)</f>
        <v/>
      </c>
      <c r="N146" s="2" t="str">
        <f t="shared" ref="N146" si="220">IF(AND(N148="",N148=""),"",M146+N148-N147)</f>
        <v/>
      </c>
      <c r="O146" s="2" t="str">
        <f t="shared" ref="O146" si="221">IF(AND(O148="",O148=""),"",N146+O148-O147)</f>
        <v/>
      </c>
      <c r="Q146" s="16"/>
    </row>
    <row r="147" spans="1:17" s="4" customFormat="1">
      <c r="A147" s="4" t="s">
        <v>77</v>
      </c>
      <c r="C147" s="5">
        <v>0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/>
      <c r="N147" s="5"/>
      <c r="Q147" s="16"/>
    </row>
    <row r="148" spans="1:17" s="4" customFormat="1">
      <c r="A148" s="4" t="s">
        <v>78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50</v>
      </c>
      <c r="J148" s="5">
        <v>0</v>
      </c>
      <c r="K148" s="5">
        <v>50</v>
      </c>
      <c r="L148" s="5">
        <v>0</v>
      </c>
      <c r="M148" s="5"/>
      <c r="N148" s="5"/>
      <c r="Q148" s="16"/>
    </row>
    <row r="149" spans="1:17" s="4" customFormat="1">
      <c r="A149" s="3" t="s">
        <v>99</v>
      </c>
      <c r="C149" s="2">
        <v>1015</v>
      </c>
      <c r="D149" s="2">
        <f t="shared" ref="D149" si="222">IF(AND(D151="",D151=""),"",C149+D151-D150)</f>
        <v>1015</v>
      </c>
      <c r="E149" s="2">
        <f t="shared" ref="E149" si="223">IF(AND(E151="",E151=""),"",D149+E151-E150)</f>
        <v>1015</v>
      </c>
      <c r="F149" s="2">
        <f t="shared" ref="F149" si="224">IF(AND(F151="",F151=""),"",E149+F151-F150)</f>
        <v>1015</v>
      </c>
      <c r="G149" s="2">
        <f t="shared" ref="G149" si="225">IF(AND(G151="",G151=""),"",F149+G151-G150)</f>
        <v>1015</v>
      </c>
      <c r="H149" s="2">
        <f t="shared" ref="H149" si="226">IF(AND(H151="",H151=""),"",G149+H151-H150)</f>
        <v>1015</v>
      </c>
      <c r="I149" s="2">
        <f t="shared" ref="I149" si="227">IF(AND(I151="",I151=""),"",H149+I151-I150)</f>
        <v>1015</v>
      </c>
      <c r="J149" s="2">
        <f t="shared" ref="J149" si="228">IF(AND(J151="",J151=""),"",I149+J151-J150)</f>
        <v>1015</v>
      </c>
      <c r="K149" s="2">
        <f t="shared" ref="K149" si="229">IF(AND(K151="",K151=""),"",J149+K151-K150)</f>
        <v>1015</v>
      </c>
      <c r="L149" s="2">
        <f t="shared" ref="L149" si="230">IF(AND(L151="",L151=""),"",K149+L151-L150)</f>
        <v>1015</v>
      </c>
      <c r="M149" s="2" t="str">
        <f t="shared" ref="M149" si="231">IF(AND(M151="",M151=""),"",L149+M151-M150)</f>
        <v/>
      </c>
      <c r="N149" s="2" t="str">
        <f t="shared" ref="N149" si="232">IF(AND(N151="",N151=""),"",M149+N151-N150)</f>
        <v/>
      </c>
      <c r="O149" s="2" t="str">
        <f t="shared" ref="O149" si="233">IF(AND(O151="",O151=""),"",N149+O151-O150)</f>
        <v/>
      </c>
      <c r="Q149" s="16"/>
    </row>
    <row r="150" spans="1:17" s="4" customFormat="1">
      <c r="A150" s="4" t="s">
        <v>77</v>
      </c>
      <c r="C150" s="5">
        <v>0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/>
      <c r="N150" s="5"/>
      <c r="Q150" s="16"/>
    </row>
    <row r="151" spans="1:17" s="4" customFormat="1">
      <c r="A151" s="4" t="s">
        <v>78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/>
      <c r="N151" s="5"/>
      <c r="Q151" s="16"/>
    </row>
    <row r="152" spans="1:17" s="3" customFormat="1">
      <c r="A152" s="3" t="s">
        <v>100</v>
      </c>
      <c r="C152" s="2">
        <v>2825</v>
      </c>
      <c r="D152" s="2">
        <f t="shared" ref="D152" si="234">IF(AND(D154="",D154=""),"",C152+D154-D153)</f>
        <v>0</v>
      </c>
      <c r="E152" s="2">
        <f t="shared" ref="E152" si="235">IF(AND(E154="",E154=""),"",D152+E154-E153)</f>
        <v>0</v>
      </c>
      <c r="F152" s="2">
        <f t="shared" ref="F152" si="236">IF(AND(F154="",F154=""),"",E152+F154-F153)</f>
        <v>0</v>
      </c>
      <c r="G152" s="2">
        <f t="shared" ref="G152" si="237">IF(AND(G154="",G154=""),"",F152+G154-G153)</f>
        <v>50</v>
      </c>
      <c r="H152" s="2">
        <f t="shared" ref="H152" si="238">IF(AND(H154="",H154=""),"",G152+H154-H153)</f>
        <v>50</v>
      </c>
      <c r="I152" s="2">
        <f t="shared" ref="I152" si="239">IF(AND(I154="",I154=""),"",H152+I154-I153)</f>
        <v>150</v>
      </c>
      <c r="J152" s="2">
        <f t="shared" ref="J152" si="240">IF(AND(J154="",J154=""),"",I152+J154-J153)</f>
        <v>150</v>
      </c>
      <c r="K152" s="2">
        <f t="shared" ref="K152" si="241">IF(AND(K154="",K154=""),"",J152+K154-K153)</f>
        <v>150</v>
      </c>
      <c r="L152" s="2">
        <f t="shared" ref="L152" si="242">IF(AND(L154="",L154=""),"",K152+L154-L153)</f>
        <v>150</v>
      </c>
      <c r="M152" s="2" t="str">
        <f t="shared" ref="M152" si="243">IF(AND(M154="",M154=""),"",L152+M154-M153)</f>
        <v/>
      </c>
      <c r="N152" s="2" t="str">
        <f t="shared" ref="N152" si="244">IF(AND(N154="",N154=""),"",M152+N154-N153)</f>
        <v/>
      </c>
      <c r="O152" s="2" t="str">
        <f t="shared" ref="O152" si="245">IF(AND(O154="",O154=""),"",N152+O154-O153)</f>
        <v/>
      </c>
      <c r="Q152" s="15"/>
    </row>
    <row r="153" spans="1:17" s="4" customFormat="1">
      <c r="A153" s="9" t="s">
        <v>85</v>
      </c>
      <c r="C153" s="5">
        <v>0</v>
      </c>
      <c r="D153" s="5">
        <v>2825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/>
      <c r="N153" s="5"/>
      <c r="Q153" s="16"/>
    </row>
    <row r="154" spans="1:17" s="4" customFormat="1">
      <c r="A154" s="9" t="s">
        <v>86</v>
      </c>
      <c r="C154" s="5">
        <v>0</v>
      </c>
      <c r="D154" s="5">
        <v>0</v>
      </c>
      <c r="E154" s="5">
        <v>0</v>
      </c>
      <c r="F154" s="5">
        <v>0</v>
      </c>
      <c r="G154" s="5">
        <v>50</v>
      </c>
      <c r="H154" s="5">
        <v>0</v>
      </c>
      <c r="I154" s="5">
        <v>100</v>
      </c>
      <c r="J154" s="5">
        <v>0</v>
      </c>
      <c r="K154" s="5">
        <v>0</v>
      </c>
      <c r="L154" s="5">
        <v>0</v>
      </c>
      <c r="M154" s="5"/>
      <c r="N154" s="5"/>
      <c r="Q154" s="16"/>
    </row>
    <row r="155" spans="1:17" s="3" customFormat="1">
      <c r="A155" s="3" t="s">
        <v>101</v>
      </c>
      <c r="C155" s="2">
        <v>305</v>
      </c>
      <c r="D155" s="2">
        <f t="shared" ref="D155" si="246">IF(AND(D157="",D157=""),"",C155+D157-D156)</f>
        <v>305</v>
      </c>
      <c r="E155" s="2">
        <f t="shared" ref="E155" si="247">IF(AND(E157="",E157=""),"",D155+E157-E156)</f>
        <v>305</v>
      </c>
      <c r="F155" s="2">
        <f t="shared" ref="F155" si="248">IF(AND(F157="",F157=""),"",E155+F157-F156)</f>
        <v>305</v>
      </c>
      <c r="G155" s="2">
        <f t="shared" ref="G155" si="249">IF(AND(G157="",G157=""),"",F155+G157-G156)</f>
        <v>305</v>
      </c>
      <c r="H155" s="2">
        <f t="shared" ref="H155" si="250">IF(AND(H157="",H157=""),"",G155+H157-H156)</f>
        <v>305</v>
      </c>
      <c r="I155" s="2">
        <f t="shared" ref="I155" si="251">IF(AND(I157="",I157=""),"",H155+I157-I156)</f>
        <v>305</v>
      </c>
      <c r="J155" s="2">
        <f t="shared" ref="J155" si="252">IF(AND(J157="",J157=""),"",I155+J157-J156)</f>
        <v>305</v>
      </c>
      <c r="K155" s="2">
        <f t="shared" ref="K155" si="253">IF(AND(K157="",K157=""),"",J155+K157-K156)</f>
        <v>305</v>
      </c>
      <c r="L155" s="2">
        <f t="shared" ref="L155" si="254">IF(AND(L157="",L157=""),"",K155+L157-L156)</f>
        <v>305</v>
      </c>
      <c r="M155" s="2" t="str">
        <f t="shared" ref="M155" si="255">IF(AND(M157="",M157=""),"",L155+M157-M156)</f>
        <v/>
      </c>
      <c r="N155" s="2" t="str">
        <f t="shared" ref="N155" si="256">IF(AND(N157="",N157=""),"",M155+N157-N156)</f>
        <v/>
      </c>
      <c r="O155" s="2" t="str">
        <f t="shared" ref="O155" si="257">IF(AND(O157="",O157=""),"",N155+O157-O156)</f>
        <v/>
      </c>
      <c r="Q155" s="15"/>
    </row>
    <row r="156" spans="1:17" s="4" customFormat="1">
      <c r="A156" s="9" t="s">
        <v>85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/>
      <c r="N156" s="5"/>
      <c r="Q156" s="16"/>
    </row>
    <row r="157" spans="1:17" s="4" customFormat="1">
      <c r="A157" s="9" t="s">
        <v>86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/>
      <c r="N157" s="5"/>
      <c r="Q157" s="16"/>
    </row>
    <row r="158" spans="1:17" s="3" customFormat="1">
      <c r="A158" s="3" t="s">
        <v>102</v>
      </c>
      <c r="C158" s="2">
        <v>313</v>
      </c>
      <c r="D158" s="2">
        <f t="shared" ref="D158" si="258">IF(AND(D160="",D160=""),"",C158+D160-D159)</f>
        <v>313</v>
      </c>
      <c r="E158" s="2">
        <f t="shared" ref="E158" si="259">IF(AND(E160="",E160=""),"",D158+E160-E159)</f>
        <v>313</v>
      </c>
      <c r="F158" s="2">
        <f t="shared" ref="F158" si="260">IF(AND(F160="",F160=""),"",E158+F160-F159)</f>
        <v>313</v>
      </c>
      <c r="G158" s="2">
        <f t="shared" ref="G158" si="261">IF(AND(G160="",G160=""),"",F158+G160-G159)</f>
        <v>313</v>
      </c>
      <c r="H158" s="2">
        <f t="shared" ref="H158" si="262">IF(AND(H160="",H160=""),"",G158+H160-H159)</f>
        <v>313</v>
      </c>
      <c r="I158" s="2">
        <f t="shared" ref="I158" si="263">IF(AND(I160="",I160=""),"",H158+I160-I159)</f>
        <v>313</v>
      </c>
      <c r="J158" s="2">
        <f t="shared" ref="J158" si="264">IF(AND(J160="",J160=""),"",I158+J160-J159)</f>
        <v>313</v>
      </c>
      <c r="K158" s="2">
        <f t="shared" ref="K158" si="265">IF(AND(K160="",K160=""),"",J158+K160-K159)</f>
        <v>313</v>
      </c>
      <c r="L158" s="2">
        <f t="shared" ref="L158" si="266">IF(AND(L160="",L160=""),"",K158+L160-L159)</f>
        <v>313</v>
      </c>
      <c r="M158" s="2" t="str">
        <f t="shared" ref="M158" si="267">IF(AND(M160="",M160=""),"",L158+M160-M159)</f>
        <v/>
      </c>
      <c r="N158" s="2" t="str">
        <f t="shared" ref="N158" si="268">IF(AND(N160="",N160=""),"",M158+N160-N159)</f>
        <v/>
      </c>
      <c r="O158" s="2" t="str">
        <f t="shared" ref="O158" si="269">IF(AND(O160="",O160=""),"",N158+O160-O159)</f>
        <v/>
      </c>
      <c r="Q158" s="15"/>
    </row>
    <row r="159" spans="1:17" s="4" customFormat="1">
      <c r="A159" s="9" t="s">
        <v>85</v>
      </c>
      <c r="C159" s="5">
        <v>0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/>
      <c r="N159" s="5"/>
      <c r="Q159" s="16"/>
    </row>
    <row r="160" spans="1:17" s="4" customFormat="1">
      <c r="A160" s="9" t="s">
        <v>86</v>
      </c>
      <c r="C160" s="5">
        <v>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/>
      <c r="N160" s="5"/>
      <c r="Q160" s="16"/>
    </row>
    <row r="161" spans="1:17" s="3" customFormat="1">
      <c r="A161" s="3" t="s">
        <v>113</v>
      </c>
      <c r="C161" s="2">
        <v>0</v>
      </c>
      <c r="D161" s="2">
        <v>0</v>
      </c>
      <c r="E161" s="2">
        <v>0</v>
      </c>
      <c r="F161" s="2">
        <f t="shared" ref="F161" si="270">IF(AND(F163="",F163=""),"",E161+F163-F162)</f>
        <v>0</v>
      </c>
      <c r="G161" s="2">
        <f t="shared" ref="G161" si="271">IF(AND(G163="",G163=""),"",F161+G163-G162)</f>
        <v>0</v>
      </c>
      <c r="H161" s="2">
        <f t="shared" ref="H161" si="272">IF(AND(H163="",H163=""),"",G161+H163-H162)</f>
        <v>0</v>
      </c>
      <c r="I161" s="2">
        <f t="shared" ref="I161" si="273">IF(AND(I163="",I163=""),"",H161+I163-I162)</f>
        <v>0</v>
      </c>
      <c r="J161" s="2">
        <f t="shared" ref="J161" si="274">IF(AND(J163="",J163=""),"",I161+J163-J162)</f>
        <v>0</v>
      </c>
      <c r="K161" s="2">
        <f t="shared" ref="K161" si="275">IF(AND(K163="",K163=""),"",J161+K163-K162)</f>
        <v>0</v>
      </c>
      <c r="L161" s="2">
        <f t="shared" ref="L161" si="276">IF(AND(L163="",L163=""),"",K161+L163-L162)</f>
        <v>125</v>
      </c>
      <c r="M161" s="2" t="str">
        <f t="shared" ref="M161" si="277">IF(AND(M163="",M163=""),"",L161+M163-M162)</f>
        <v/>
      </c>
      <c r="N161" s="2" t="str">
        <f t="shared" ref="N161" si="278">IF(AND(N163="",N163=""),"",M161+N163-N162)</f>
        <v/>
      </c>
      <c r="O161" s="2" t="str">
        <f t="shared" ref="O161" si="279">IF(AND(O163="",O163=""),"",N161+O163-O162)</f>
        <v/>
      </c>
      <c r="Q161" s="15"/>
    </row>
    <row r="162" spans="1:17" s="4" customFormat="1">
      <c r="A162" s="9" t="s">
        <v>85</v>
      </c>
      <c r="C162" s="5">
        <v>0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/>
      <c r="N162" s="5"/>
      <c r="Q162" s="16"/>
    </row>
    <row r="163" spans="1:17" s="4" customFormat="1">
      <c r="A163" s="9" t="s">
        <v>86</v>
      </c>
      <c r="C163" s="5">
        <v>0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125</v>
      </c>
      <c r="M163" s="5"/>
      <c r="N163" s="5"/>
      <c r="Q163" s="16"/>
    </row>
    <row r="164" spans="1:17" s="4" customFormat="1">
      <c r="A164" s="3" t="s">
        <v>12</v>
      </c>
      <c r="C164" s="2">
        <f>IF(OR(C140="",C143="",C146="",C149="",C152="",C155="",C158=""),"",C140+C143+C146+C149+C152+C155+C158+C161)</f>
        <v>10303</v>
      </c>
      <c r="D164" s="2">
        <f>IF(OR(D140="",D143="",D146="",D149="",D152="",D155="",D158=""),"",D140+D143+D146+D149+D152+D155+D158+D161)</f>
        <v>7410</v>
      </c>
      <c r="E164" s="2">
        <f t="shared" ref="E164:O164" si="280">IF(OR(E140="",E143="",E146="",E149="",E152="",E155="",E158=""),"",E140+E143+E146+E149+E152+E155+E158+E161)</f>
        <v>8232.68</v>
      </c>
      <c r="F164" s="2">
        <f t="shared" si="280"/>
        <v>8232.68</v>
      </c>
      <c r="G164" s="2">
        <f t="shared" si="280"/>
        <v>8382.68</v>
      </c>
      <c r="H164" s="2">
        <f t="shared" si="280"/>
        <v>8164.83</v>
      </c>
      <c r="I164" s="2">
        <f t="shared" si="280"/>
        <v>8669.83</v>
      </c>
      <c r="J164" s="2">
        <f t="shared" si="280"/>
        <v>8669.83</v>
      </c>
      <c r="K164" s="2">
        <f t="shared" si="280"/>
        <v>8555.26</v>
      </c>
      <c r="L164" s="2">
        <f t="shared" si="280"/>
        <v>9252.26</v>
      </c>
      <c r="M164" s="2" t="str">
        <f t="shared" si="280"/>
        <v/>
      </c>
      <c r="N164" s="2" t="str">
        <f t="shared" si="280"/>
        <v/>
      </c>
      <c r="O164" s="2" t="str">
        <f t="shared" si="280"/>
        <v/>
      </c>
      <c r="Q164" s="16"/>
    </row>
    <row r="165" spans="1:17" s="4" customFormat="1">
      <c r="A165" s="3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5"/>
      <c r="Q165" s="14"/>
    </row>
    <row r="166" spans="1:17" s="4" customFormat="1"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14"/>
    </row>
    <row r="167" spans="1:17" s="4" customFormat="1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14"/>
    </row>
    <row r="168" spans="1:17" s="4" customFormat="1">
      <c r="C168" s="5"/>
      <c r="D168" s="5"/>
      <c r="E168" s="5"/>
      <c r="F168" s="5"/>
      <c r="G168" s="5"/>
      <c r="H168" s="5"/>
      <c r="I168" s="5"/>
      <c r="J168" s="5"/>
      <c r="K168" s="5"/>
      <c r="L168" s="2" t="s">
        <v>90</v>
      </c>
      <c r="M168" s="5"/>
      <c r="N168" s="5"/>
      <c r="O168" s="5"/>
      <c r="P168" s="5"/>
      <c r="Q168" s="14"/>
    </row>
    <row r="169" spans="1:17" s="4" customFormat="1">
      <c r="A169" s="3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14"/>
    </row>
  </sheetData>
  <mergeCells count="8">
    <mergeCell ref="A50:B50"/>
    <mergeCell ref="A53:B53"/>
    <mergeCell ref="A30:B30"/>
    <mergeCell ref="A39:B39"/>
    <mergeCell ref="A40:B40"/>
    <mergeCell ref="A41:B41"/>
    <mergeCell ref="A48:B48"/>
    <mergeCell ref="A49:B49"/>
  </mergeCells>
  <printOptions gridLines="1"/>
  <pageMargins left="0.25" right="0.25" top="0.73350000000000004" bottom="0.73350000000000004" header="0.3" footer="0.3"/>
  <pageSetup scale="75" fitToHeight="0" orientation="landscape" horizontalDpi="180" verticalDpi="180" r:id="rId1"/>
  <headerFooter alignWithMargins="0">
    <oddHeader>&amp;C&amp;"Arial11,Regular"&amp;12&amp;K000000&amp;A</oddHeader>
    <oddFooter>&amp;C&amp;"Arial11,Regular"&amp;12&amp;K000000Page &amp;P</oddFooter>
  </headerFooter>
  <rowBreaks count="2" manualBreakCount="2">
    <brk id="44" max="16383" man="1"/>
    <brk id="8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HVUUC 2021 -2022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Helmer</dc:creator>
  <cp:lastModifiedBy>Deborah Helmer</cp:lastModifiedBy>
  <cp:lastPrinted>2022-01-08T00:06:45Z</cp:lastPrinted>
  <dcterms:created xsi:type="dcterms:W3CDTF">2020-07-28T22:49:01Z</dcterms:created>
  <dcterms:modified xsi:type="dcterms:W3CDTF">2022-03-03T14:15:26Z</dcterms:modified>
</cp:coreProperties>
</file>